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fileSharing readOnlyRecommended="1"/>
  <workbookPr codeName="ThisWorkbook" autoCompressPictures="0"/>
  <mc:AlternateContent xmlns:mc="http://schemas.openxmlformats.org/markup-compatibility/2006">
    <mc:Choice Requires="x15">
      <x15ac:absPath xmlns:x15ac="http://schemas.microsoft.com/office/spreadsheetml/2010/11/ac" url="X:\Quality\Compliance\Conflict Minerals\"/>
    </mc:Choice>
  </mc:AlternateContent>
  <xr:revisionPtr revIDLastSave="0" documentId="13_ncr:1_{C355D325-588F-4579-9C8E-240A4999893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B5" i="5"/>
  <c r="C5" i="5"/>
  <c r="B6" i="5"/>
  <c r="C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6" i="5"/>
  <c r="J6" i="5"/>
  <c r="E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4"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<sst xmlns="http://schemas.openxmlformats.org/spreadsheetml/2006/main" count="22456" uniqueCount="15820">
  <si>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</si>
  <si>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</si>
  <si>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</si>
  <si>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</si>
  <si>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</si>
  <si>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</si>
  <si>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</si>
  <si>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</si>
  <si>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</si>
  <si>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</si>
  <si>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</si>
  <si>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</si>
  <si>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</si>
  <si>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</si>
  <si>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</si>
  <si>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</si>
  <si>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</si>
  <si>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</si>
  <si>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</si>
  <si>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</si>
  <si>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</si>
  <si>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</si>
  <si>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</si>
  <si>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</si>
  <si>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</si>
  <si>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</si>
  <si>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</si>
  <si>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</si>
  <si>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</si>
  <si>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</si>
  <si>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</si>
  <si>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</si>
  <si>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</si>
  <si>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</si>
  <si>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</si>
  <si>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</si>
  <si>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</si>
  <si>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</si>
  <si>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</si>
  <si>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</si>
  <si>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</si>
  <si>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</si>
  <si>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</si>
  <si>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</si>
  <si>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</si>
  <si>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</si>
  <si>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</si>
  <si>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</si>
  <si>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</si>
  <si>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</si>
  <si>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</si>
  <si>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</si>
  <si>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</si>
  <si>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</si>
  <si>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</si>
  <si>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</si>
  <si>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</si>
  <si>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</si>
  <si>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</si>
  <si>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</si>
  <si>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</si>
  <si>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</si>
  <si>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</si>
  <si>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</si>
  <si>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</si>
  <si>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</si>
  <si>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</si>
  <si>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</si>
  <si>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</si>
  <si>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</si>
  <si>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</si>
  <si>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</si>
  <si>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</si>
  <si>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</si>
  <si>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</si>
  <si>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</si>
  <si>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</si>
  <si>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</si>
  <si>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</si>
  <si>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</si>
  <si>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</si>
  <si>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</si>
  <si>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</si>
  <si>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</si>
  <si>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</si>
  <si>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</si>
  <si>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</si>
  <si>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</si>
  <si>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</si>
  <si>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</si>
  <si>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</si>
  <si>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</si>
  <si>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</si>
  <si>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</si>
  <si>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</si>
  <si>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</si>
  <si>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</si>
  <si>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</si>
  <si>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</si>
  <si>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</si>
  <si>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</si>
  <si>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</si>
  <si>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</si>
  <si>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</si>
  <si>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</si>
  <si>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</si>
  <si>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</si>
  <si>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</si>
  <si>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</si>
  <si>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</si>
  <si>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</si>
  <si>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</si>
  <si>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</si>
  <si>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</si>
  <si>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</si>
  <si>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</si>
  <si>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</si>
  <si>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</si>
  <si>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</si>
  <si>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</si>
  <si>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</si>
  <si>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</si>
  <si>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</si>
  <si>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</si>
  <si>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</si>
  <si>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</si>
  <si>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</si>
  <si>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</si>
  <si>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</si>
  <si>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</si>
  <si>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</si>
  <si>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</si>
  <si>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</si>
  <si>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</si>
  <si>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</si>
  <si>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</si>
  <si>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</si>
  <si>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</si>
  <si>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</si>
  <si>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</si>
  <si>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</si>
  <si>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</si>
  <si>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</si>
  <si>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</si>
  <si>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</si>
  <si>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</si>
  <si>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</si>
  <si>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</si>
  <si>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</si>
  <si>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</si>
  <si>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</si>
  <si>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</si>
  <si>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</si>
  <si>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</si>
  <si>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</si>
  <si>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</si>
  <si>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</si>
  <si>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</si>
  <si>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</si>
  <si>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</si>
  <si>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</si>
  <si>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</si>
  <si>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</si>
  <si>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</si>
  <si>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</si>
  <si>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</si>
  <si>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</si>
  <si>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</si>
  <si>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</si>
  <si>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</si>
  <si>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</si>
  <si>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</si>
  <si>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</si>
  <si>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</si>
  <si>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</si>
  <si>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</si>
  <si>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</si>
  <si>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</si>
  <si>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</si>
  <si>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</si>
  <si>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</si>
  <si>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</si>
  <si>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</si>
  <si>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</si>
  <si>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</si>
  <si>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</si>
  <si>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</si>
  <si>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</si>
  <si>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</si>
  <si>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</si>
  <si>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</si>
  <si>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</si>
  <si>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</si>
  <si>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</si>
  <si>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</si>
  <si>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</si>
  <si>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</si>
  <si>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</si>
  <si>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</si>
  <si>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</si>
  <si>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</si>
  <si>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</si>
  <si>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</si>
  <si>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</si>
  <si>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</si>
  <si>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</si>
  <si>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</si>
  <si>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</si>
  <si>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</si>
  <si>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</si>
  <si>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</si>
  <si>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</si>
  <si>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</si>
  <si>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</si>
  <si>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</si>
  <si>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</si>
  <si>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</si>
  <si>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</si>
  <si>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</si>
  <si>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</si>
  <si>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</si>
  <si>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</si>
  <si>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</si>
  <si>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</si>
  <si>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</si>
  <si>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</si>
  <si>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</si>
  <si>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</si>
  <si>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</si>
  <si>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</si>
  <si>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</si>
  <si>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</si>
  <si>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</si>
  <si>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</si>
  <si>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</si>
  <si>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</si>
  <si>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</si>
  <si>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</si>
  <si>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</si>
  <si>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</si>
  <si>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</si>
  <si>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</si>
  <si>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</si>
  <si>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</si>
  <si>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</si>
  <si>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</si>
  <si>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</si>
  <si>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</si>
  <si>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</si>
  <si>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</si>
  <si>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</si>
  <si>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</si>
  <si>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</si>
  <si>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</si>
  <si>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</si>
  <si>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</si>
  <si>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</si>
  <si>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</si>
  <si>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</si>
  <si>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</si>
  <si>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</si>
  <si>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</si>
  <si>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</si>
  <si>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</si>
  <si>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</si>
  <si>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</si>
  <si>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</si>
  <si>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</si>
  <si>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</si>
  <si>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</si>
  <si>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</si>
  <si>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</si>
  <si>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</si>
  <si>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</si>
  <si>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</si>
  <si>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</si>
  <si>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</si>
  <si>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</si>
  <si>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</si>
  <si>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</si>
  <si>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</si>
  <si>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</si>
  <si>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</si>
  <si>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</si>
  <si>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</si>
  <si>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</si>
  <si>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</si>
  <si>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</si>
  <si>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</si>
  <si>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</si>
  <si>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</si>
  <si>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</si>
  <si>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</si>
  <si>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</si>
  <si>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</si>
  <si>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</si>
  <si>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</si>
  <si>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</si>
  <si>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</si>
  <si>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</si>
  <si>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</si>
  <si>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</si>
  <si>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</si>
  <si>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</si>
  <si>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</si>
  <si>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</si>
  <si>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</si>
  <si>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</si>
  <si>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</si>
  <si>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</si>
  <si>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</si>
  <si>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</si>
  <si>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</si>
  <si>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</si>
  <si>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</si>
  <si>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</si>
  <si>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</si>
  <si>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</si>
  <si>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</si>
  <si>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</si>
  <si>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</si>
  <si>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</si>
  <si>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</si>
  <si>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</si>
  <si>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</si>
  <si>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</si>
  <si>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</si>
  <si>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</si>
  <si>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</si>
  <si>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</si>
  <si>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</si>
  <si>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</si>
  <si>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</si>
  <si>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</si>
  <si>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</si>
  <si>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</si>
  <si>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</si>
  <si>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</si>
  <si>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</si>
  <si>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</si>
  <si>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</si>
  <si>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</si>
  <si>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</si>
  <si>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</si>
  <si>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</si>
  <si>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</si>
  <si>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</si>
  <si>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</si>
  <si>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</si>
  <si>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</si>
  <si>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</si>
  <si>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</si>
  <si>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</si>
  <si>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</si>
  <si>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</si>
  <si>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</si>
  <si>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</si>
  <si>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</si>
  <si>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</si>
  <si>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</si>
  <si>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</si>
  <si>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</si>
  <si>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</si>
  <si>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</si>
  <si>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</si>
  <si>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</si>
  <si>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</si>
  <si>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</si>
  <si>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</si>
  <si>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</si>
  <si>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</si>
  <si>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</si>
  <si>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</si>
  <si>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</si>
  <si>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</si>
  <si>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</si>
  <si>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</si>
  <si>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</si>
  <si>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</si>
  <si>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</si>
  <si>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</si>
  <si>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</si>
  <si>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</si>
  <si>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</si>
  <si>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</si>
  <si>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</si>
  <si>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</si>
  <si>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</si>
  <si>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</si>
  <si>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</si>
  <si>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</si>
  <si>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</si>
  <si>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</si>
  <si>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</si>
  <si>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</si>
  <si>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</si>
  <si>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</si>
  <si>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</si>
  <si>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</si>
  <si>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</si>
  <si>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</si>
  <si>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</si>
  <si>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</si>
  <si>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</si>
  <si>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</si>
  <si>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</si>
  <si>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</si>
  <si>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</si>
  <si>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</si>
  <si>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</si>
  <si>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</si>
  <si>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</si>
  <si>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</si>
  <si>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</si>
  <si>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</si>
  <si>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</si>
  <si>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</si>
  <si>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</si>
  <si>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</si>
  <si>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</si>
  <si>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</si>
  <si>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</si>
  <si>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</si>
  <si>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</si>
  <si>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</si>
  <si>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</si>
  <si>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</si>
  <si>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</si>
  <si>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</si>
  <si>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</si>
  <si>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</si>
  <si>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</si>
  <si>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</si>
  <si>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</si>
  <si>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</si>
  <si>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</si>
  <si>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</si>
  <si>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</si>
  <si>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</si>
  <si>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</si>
  <si>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</si>
  <si>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</si>
  <si>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</si>
  <si>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</si>
  <si>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</si>
  <si>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</si>
  <si>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</si>
  <si>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</si>
  <si>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</si>
  <si>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</si>
  <si>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</si>
  <si>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</si>
  <si>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</si>
  <si>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</si>
  <si>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</si>
  <si>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</si>
  <si>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</si>
  <si>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</si>
  <si>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</si>
  <si>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</si>
  <si>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</si>
  <si>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</si>
  <si>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</si>
  <si>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</si>
  <si>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</si>
  <si>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</si>
  <si>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</si>
  <si>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</si>
  <si>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</si>
  <si>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</si>
  <si>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</si>
  <si>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</si>
  <si>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</si>
  <si>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</si>
  <si>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</si>
  <si>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</si>
  <si>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</si>
  <si>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</si>
  <si>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</si>
  <si>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</si>
  <si>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</si>
  <si>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</si>
  <si>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</si>
  <si>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</si>
  <si>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</si>
  <si>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</si>
  <si>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</si>
  <si>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</si>
  <si>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</si>
  <si>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</si>
  <si>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</si>
  <si>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</si>
  <si>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</si>
  <si>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</si>
  <si>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</si>
  <si>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</si>
  <si>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</si>
  <si>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</si>
  <si>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</si>
  <si>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</si>
  <si>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</si>
  <si>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</si>
  <si>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</si>
  <si>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</si>
  <si>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</si>
  <si>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</si>
  <si>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</si>
  <si>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</si>
  <si>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</si>
  <si>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</si>
  <si>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</si>
  <si>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</si>
  <si>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</si>
  <si>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</si>
  <si>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</si>
  <si>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</si>
  <si>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</si>
  <si>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</si>
  <si>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</si>
  <si>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</si>
  <si>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</si>
  <si>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</si>
  <si>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</si>
  <si>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</si>
  <si>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</si>
  <si>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</si>
  <si>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</si>
  <si>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</si>
  <si>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</si>
  <si>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</si>
  <si>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</si>
  <si>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</si>
  <si>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</si>
  <si>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</si>
  <si>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</si>
  <si>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</si>
  <si>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</si>
  <si>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</si>
  <si>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</si>
  <si>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</si>
  <si>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</si>
  <si>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</si>
  <si>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</si>
  <si>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</si>
  <si>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</si>
  <si>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</si>
  <si>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</si>
  <si>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</si>
  <si>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</si>
  <si>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</si>
  <si>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</si>
  <si>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</si>
  <si>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</si>
  <si>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</si>
  <si>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</si>
  <si>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</si>
  <si>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</si>
  <si>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</si>
  <si>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</si>
  <si>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</si>
  <si>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</si>
  <si>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</si>
  <si>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</si>
  <si>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</si>
  <si>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</si>
  <si>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</si>
  <si>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</si>
  <si>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</si>
  <si>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</si>
  <si>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</si>
  <si>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</si>
  <si>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</si>
  <si>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</si>
  <si>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</si>
  <si>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</si>
  <si>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</si>
  <si>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</si>
  <si>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</si>
  <si>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</si>
  <si>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</si>
  <si>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</si>
  <si>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</si>
  <si>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</si>
  <si>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</si>
  <si>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</si>
  <si>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</si>
  <si>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</si>
  <si>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</si>
  <si>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</si>
  <si>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</si>
  <si>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</si>
  <si>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</si>
  <si>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</si>
  <si>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</si>
  <si>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</si>
  <si>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</si>
  <si>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</si>
  <si>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</si>
  <si>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</si>
  <si>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</si>
  <si>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</si>
  <si>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</si>
  <si>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</si>
  <si>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</si>
  <si>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</si>
  <si>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</si>
  <si>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</si>
  <si>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</si>
  <si>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</si>
  <si>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</si>
  <si>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</si>
  <si>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</si>
  <si>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</si>
  <si>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</si>
  <si>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</si>
  <si>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</si>
  <si>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</si>
  <si>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</si>
  <si>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</si>
  <si>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</si>
  <si>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</si>
  <si>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</si>
  <si>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</si>
  <si>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</si>
  <si>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</si>
  <si>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</si>
  <si>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</si>
  <si>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</si>
  <si>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</si>
  <si>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</si>
  <si>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</si>
  <si>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</si>
  <si>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</si>
  <si>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</si>
  <si>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</si>
  <si>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</si>
  <si>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</si>
  <si>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</si>
  <si>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</si>
  <si>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</si>
  <si>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</si>
  <si>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</si>
  <si>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</si>
  <si>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</si>
  <si>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</si>
  <si>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</si>
  <si>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</si>
  <si>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</si>
  <si>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</si>
  <si>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</si>
  <si>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</si>
  <si>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</si>
  <si>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</si>
  <si>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</si>
  <si>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</si>
  <si>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</si>
  <si>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</si>
  <si>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</si>
  <si>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</si>
  <si>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</si>
  <si>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</si>
  <si>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</si>
  <si>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</si>
  <si>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</si>
  <si>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</si>
  <si>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</si>
  <si>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</si>
  <si>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</si>
  <si>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</si>
  <si>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</si>
  <si>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</si>
  <si>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</si>
  <si>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</si>
  <si>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</si>
  <si>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</si>
  <si>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</si>
  <si>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</si>
  <si>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</si>
  <si>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</si>
  <si>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</si>
  <si>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</si>
  <si>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</si>
  <si>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</si>
  <si>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</si>
  <si>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</si>
  <si>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</si>
  <si>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</si>
  <si>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</si>
  <si>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</si>
  <si>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</si>
  <si>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</si>
  <si>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</si>
  <si>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</si>
  <si>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</si>
  <si>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</si>
  <si>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</si>
  <si>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</si>
  <si>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</si>
  <si>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</si>
  <si>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</si>
  <si>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</si>
  <si>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</si>
  <si>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</si>
  <si>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</si>
  <si>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</si>
  <si>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</si>
  <si>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</si>
  <si>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</si>
  <si>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</si>
  <si>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</si>
  <si>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</si>
  <si>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</si>
  <si>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</si>
  <si>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</si>
  <si>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</si>
  <si>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</si>
  <si>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</si>
  <si>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</si>
  <si>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</si>
  <si>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</si>
  <si>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</si>
  <si>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</si>
  <si>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</si>
  <si>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</si>
  <si>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</si>
  <si>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</si>
  <si>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</si>
  <si>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</si>
  <si>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</si>
  <si>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</si>
  <si>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</si>
  <si>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</si>
  <si>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</si>
  <si>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</si>
  <si>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</si>
  <si>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</si>
  <si>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</si>
  <si>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</si>
  <si>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</si>
  <si>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</si>
  <si>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</si>
  <si>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</si>
  <si>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</si>
  <si>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</si>
  <si>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</si>
  <si>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</si>
  <si>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</si>
  <si>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</si>
  <si>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</si>
  <si>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</si>
  <si>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</si>
  <si>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</si>
  <si>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</si>
  <si>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</si>
  <si>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</si>
  <si>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</si>
  <si>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</si>
  <si>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</si>
  <si>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</si>
  <si>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</si>
  <si>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</si>
  <si>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</si>
  <si>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</si>
  <si>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</si>
  <si>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</si>
  <si>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</si>
  <si>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</si>
  <si>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</si>
  <si>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</si>
  <si>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</si>
  <si>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</si>
  <si>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</si>
  <si>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</si>
  <si>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</si>
  <si>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</si>
  <si>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</si>
  <si>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</si>
  <si>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</si>
  <si>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</si>
  <si>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</si>
  <si>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</si>
  <si>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</si>
  <si>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</si>
  <si>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</si>
  <si>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</si>
  <si>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</si>
  <si>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</si>
  <si>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</si>
  <si>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</si>
  <si>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</si>
  <si>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</si>
  <si>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</si>
  <si>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</si>
  <si>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</si>
  <si>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</si>
  <si>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</si>
  <si>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</si>
  <si>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</si>
  <si>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</si>
  <si>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</si>
  <si>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</si>
  <si>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</si>
  <si>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</si>
  <si>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</si>
  <si>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</si>
  <si>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</si>
  <si>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</si>
  <si>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</si>
  <si>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</si>
  <si>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</si>
  <si>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</si>
  <si>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</si>
  <si>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</si>
  <si>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</si>
  <si>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</si>
  <si>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</si>
  <si>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</si>
  <si>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</si>
  <si>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</si>
  <si>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</si>
  <si>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</si>
  <si>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</si>
  <si>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</si>
  <si>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</si>
  <si>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</si>
  <si>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</si>
  <si>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</si>
  <si>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</si>
  <si>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</si>
  <si>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</si>
  <si>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</si>
  <si>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</si>
  <si>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</si>
  <si>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</si>
  <si>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</si>
  <si>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</si>
  <si>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</si>
  <si>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</si>
  <si>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</si>
  <si>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</si>
  <si>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</si>
  <si>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</si>
  <si>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</si>
  <si>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</si>
  <si>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</si>
  <si>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</si>
  <si>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</si>
  <si>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</si>
  <si>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</si>
  <si>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</si>
  <si>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</si>
  <si>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</si>
  <si>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</si>
  <si>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</si>
  <si>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</si>
  <si>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</si>
  <si>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</si>
  <si>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</si>
  <si>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</si>
  <si>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</si>
  <si>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</si>
  <si>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</si>
  <si>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</si>
  <si>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</si>
  <si>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</si>
  <si>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</si>
  <si>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</si>
  <si>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</si>
  <si>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</si>
  <si>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</si>
  <si>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</si>
  <si>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</si>
  <si>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</si>
  <si>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</si>
  <si>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</si>
  <si>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</si>
  <si>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</si>
  <si>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</si>
  <si>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</si>
  <si>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</si>
  <si>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</si>
  <si>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</si>
  <si>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</si>
  <si>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</si>
  <si>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</si>
  <si>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</si>
  <si>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</si>
  <si>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</si>
  <si>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</si>
  <si>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</si>
  <si>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</si>
  <si>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</si>
  <si>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</si>
  <si>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</si>
  <si>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</si>
  <si>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</si>
  <si>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</si>
  <si>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</si>
  <si>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</si>
  <si>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</si>
  <si>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</si>
  <si>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</si>
  <si>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</si>
  <si>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</si>
  <si>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</si>
  <si>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</si>
  <si>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</si>
  <si>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</si>
  <si>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</si>
  <si>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</si>
  <si>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</si>
  <si>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</si>
  <si>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</si>
  <si>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</si>
  <si>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</si>
  <si>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</si>
  <si>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</si>
  <si>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</si>
  <si>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</si>
  <si>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</si>
  <si>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</si>
  <si>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</si>
  <si>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</si>
  <si>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</si>
  <si>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</si>
  <si>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</si>
  <si>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</si>
  <si>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</si>
  <si>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</si>
  <si>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</si>
  <si>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</si>
  <si>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</si>
  <si>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</si>
  <si>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</si>
  <si>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</si>
  <si>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</si>
  <si>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</si>
  <si>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</si>
  <si>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</si>
  <si>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</si>
  <si>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</si>
  <si>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</si>
  <si>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</si>
  <si>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</si>
  <si>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</si>
  <si>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</si>
  <si>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</si>
  <si>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</si>
  <si>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</si>
  <si>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</si>
  <si>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</si>
  <si>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</si>
  <si>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</si>
  <si>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</si>
  <si>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</si>
  <si>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</si>
  <si>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</si>
  <si>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</si>
  <si>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</si>
  <si>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</si>
  <si>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</si>
  <si>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</si>
  <si>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</si>
  <si>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</si>
  <si>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</si>
  <si>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</si>
  <si>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</si>
  <si>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</si>
  <si>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</si>
  <si>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</si>
  <si>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</si>
  <si>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</si>
  <si>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</si>
  <si>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</si>
  <si>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</si>
  <si>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</si>
  <si>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</si>
  <si>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</si>
  <si>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</si>
  <si>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</si>
  <si>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</si>
  <si>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</si>
  <si>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</si>
  <si>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</si>
  <si>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</si>
  <si>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</si>
  <si>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</si>
  <si>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</si>
  <si>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</si>
  <si>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</si>
  <si>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</si>
  <si>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</si>
  <si>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</si>
  <si>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</si>
  <si>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</si>
  <si>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</si>
  <si>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</si>
  <si>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</si>
  <si>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</si>
  <si>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</si>
  <si>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</si>
  <si>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</si>
  <si>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</si>
  <si>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</si>
  <si>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</si>
  <si>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</si>
  <si>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</si>
  <si>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</si>
  <si>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</si>
  <si>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</si>
  <si>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</si>
  <si>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</si>
  <si>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</si>
  <si>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</si>
  <si>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</si>
  <si>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</si>
  <si>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</si>
  <si>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</si>
  <si>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</si>
  <si>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</si>
  <si>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</si>
  <si>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</si>
  <si>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</si>
  <si>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</si>
  <si>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</si>
  <si>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</si>
  <si>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</si>
  <si>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</si>
  <si>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</si>
  <si>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</si>
  <si>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</si>
  <si>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</si>
  <si>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</si>
  <si>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</si>
  <si>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</si>
  <si>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</si>
  <si>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</si>
  <si>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</si>
  <si>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</si>
  <si>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</si>
  <si>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</si>
  <si>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</si>
  <si>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</si>
  <si>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</si>
  <si>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</si>
  <si>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</si>
  <si>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</si>
  <si>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</si>
  <si>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</si>
  <si>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</si>
  <si>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</si>
  <si>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</si>
  <si>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</si>
  <si>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</si>
  <si>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</si>
  <si>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</si>
  <si>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</si>
  <si>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</si>
  <si>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</si>
  <si>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</si>
  <si>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</si>
  <si>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</si>
  <si>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</si>
  <si>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</si>
  <si>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</si>
  <si>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</si>
  <si>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</si>
  <si>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</si>
  <si>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</si>
  <si>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</si>
  <si>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</si>
  <si>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</si>
  <si>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</si>
  <si>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</si>
  <si>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</si>
  <si>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</si>
  <si>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</si>
  <si>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</si>
  <si>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</si>
  <si>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</si>
  <si>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</si>
  <si>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</si>
  <si>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</si>
  <si>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</si>
  <si>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</si>
  <si>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</si>
  <si>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</si>
  <si>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</si>
  <si>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</si>
  <si>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</si>
  <si>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</si>
  <si>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</si>
  <si>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</si>
  <si>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</si>
  <si>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</si>
  <si>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</si>
  <si>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</si>
  <si>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</si>
  <si>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</si>
  <si>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</si>
  <si>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</si>
  <si>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</si>
  <si>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</si>
  <si>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</si>
  <si>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</si>
  <si>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</si>
  <si>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</si>
  <si>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</si>
  <si>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</si>
  <si>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</si>
  <si>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</si>
  <si>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</si>
  <si>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</si>
  <si>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</si>
  <si>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</si>
  <si>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</si>
  <si>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</si>
  <si>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</si>
  <si>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</si>
  <si>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</si>
  <si>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</si>
  <si>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</si>
  <si>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</si>
  <si>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</si>
  <si>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</si>
  <si>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</si>
  <si>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</si>
  <si>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</si>
  <si>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</si>
  <si>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</si>
  <si>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</si>
  <si>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</si>
  <si>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</si>
  <si>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</si>
  <si>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</si>
  <si>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</si>
  <si>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</si>
  <si>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</si>
  <si>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</si>
  <si>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</si>
  <si>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</si>
  <si>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</si>
  <si>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</si>
  <si>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</si>
  <si>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</si>
  <si>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</si>
  <si>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</si>
  <si>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</si>
  <si>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</si>
  <si>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</si>
  <si>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</si>
  <si>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</si>
  <si>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</si>
  <si>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</si>
  <si>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</si>
  <si>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</si>
  <si>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</si>
  <si>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</si>
  <si>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</si>
  <si>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</si>
  <si>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</si>
  <si>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</si>
  <si>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</si>
  <si>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</si>
  <si>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</si>
  <si>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</si>
  <si>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</si>
  <si>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</si>
  <si>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</si>
  <si>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</si>
  <si>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</si>
  <si>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</si>
  <si>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</si>
  <si>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</si>
  <si>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</si>
  <si>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</si>
  <si>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</si>
  <si>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</si>
  <si>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</si>
  <si>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</si>
  <si>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</si>
  <si>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</si>
  <si>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</si>
  <si>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</si>
  <si>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</si>
  <si>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</si>
  <si>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</si>
  <si>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</si>
  <si>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</si>
  <si>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</si>
  <si>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</si>
  <si>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</si>
  <si>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</si>
  <si>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</si>
  <si>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</si>
  <si>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</si>
  <si>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</si>
  <si>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</si>
  <si>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</si>
  <si>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</si>
  <si>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</si>
  <si>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</si>
  <si>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</si>
  <si>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</si>
  <si>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</si>
  <si>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</si>
  <si>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</si>
  <si>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</si>
  <si>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</si>
  <si>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</si>
  <si>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</si>
  <si>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</si>
  <si>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</si>
  <si>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</si>
  <si>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</si>
  <si>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</si>
  <si>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</si>
  <si>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</si>
  <si>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</si>
  <si>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</si>
  <si>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</si>
  <si>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</si>
  <si>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</si>
  <si>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</si>
  <si>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</si>
  <si>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</si>
  <si>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</si>
  <si>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</si>
  <si>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</si>
  <si>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</si>
  <si>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</si>
  <si>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</si>
  <si>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</si>
  <si>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</si>
  <si>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</si>
  <si>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</si>
  <si>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</si>
  <si>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</si>
  <si>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</si>
  <si>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</si>
  <si>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</si>
  <si>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</si>
  <si>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</si>
  <si>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</si>
  <si>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</si>
  <si>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</si>
  <si>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</si>
  <si>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</si>
  <si>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</si>
  <si>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</si>
  <si>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</si>
  <si>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</si>
  <si>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</si>
  <si>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</si>
  <si>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</si>
  <si>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</si>
  <si>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</si>
  <si>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</si>
  <si>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</si>
  <si>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</si>
  <si>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</si>
  <si>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</si>
  <si>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</si>
  <si>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</si>
  <si>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</si>
  <si>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</si>
  <si>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</si>
  <si>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</si>
  <si>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</si>
  <si>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</si>
  <si>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</si>
  <si>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</si>
  <si>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</si>
  <si>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</si>
  <si>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</si>
  <si>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</si>
  <si>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</si>
  <si>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</si>
  <si>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</si>
  <si>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</si>
  <si>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</si>
  <si>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</si>
  <si>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</si>
  <si>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</si>
  <si>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</si>
  <si>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</si>
  <si>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</si>
  <si>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</si>
  <si>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</si>
  <si>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</si>
  <si>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</si>
  <si>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</si>
  <si>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</si>
  <si>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</si>
  <si>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</si>
  <si>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</si>
  <si>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</si>
  <si>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</si>
  <si>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</si>
  <si>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</si>
  <si>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</si>
  <si>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</si>
  <si>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</si>
  <si>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</si>
  <si>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</si>
  <si>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</si>
  <si>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</si>
  <si>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</si>
  <si>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</si>
  <si>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</si>
  <si>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</si>
  <si>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</si>
  <si>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</si>
  <si>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</si>
  <si>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</si>
  <si>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</si>
  <si>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</si>
  <si>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</si>
  <si>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</si>
  <si>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</si>
  <si>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</si>
  <si>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</si>
  <si>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</si>
  <si>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</si>
  <si>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</si>
  <si>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</si>
  <si>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</si>
  <si>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</si>
  <si>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</si>
  <si>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</si>
  <si>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</si>
  <si>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</si>
  <si>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</si>
  <si>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</si>
  <si>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</si>
  <si>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</si>
  <si>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</si>
  <si>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</si>
  <si>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</si>
  <si>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</si>
  <si>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</si>
  <si>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</si>
  <si>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</si>
  <si>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</si>
  <si>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</si>
  <si>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</si>
  <si>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</si>
  <si>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</si>
  <si>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</si>
  <si>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</si>
  <si>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</si>
  <si>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</si>
  <si>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</si>
  <si>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</si>
  <si>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</si>
  <si>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</si>
  <si>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</si>
  <si>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</si>
  <si>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</si>
  <si>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</si>
  <si>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</si>
  <si>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</si>
  <si>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</si>
  <si>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</si>
  <si>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</si>
  <si>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</si>
  <si>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</si>
  <si>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</si>
  <si>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</si>
  <si>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</si>
  <si>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</si>
  <si>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</si>
  <si>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</si>
  <si>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</si>
  <si>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</si>
  <si>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</si>
  <si>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</si>
  <si>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</si>
  <si>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</si>
  <si>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</si>
  <si>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</si>
  <si>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</si>
  <si>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</si>
  <si>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</si>
  <si>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</si>
  <si>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</si>
  <si>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</si>
  <si>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</si>
  <si>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</si>
  <si>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</si>
  <si>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</si>
  <si>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</si>
  <si>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</si>
  <si>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</si>
  <si>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</si>
  <si>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</si>
  <si>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</si>
  <si>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</si>
  <si>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</si>
  <si>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</si>
  <si>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</si>
  <si>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</si>
  <si>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</si>
  <si>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</si>
  <si>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</si>
  <si>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</si>
  <si>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</si>
  <si>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</si>
  <si>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</si>
  <si>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</si>
  <si>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</si>
  <si>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</si>
  <si>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</si>
  <si>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</si>
  <si>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</si>
  <si>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</si>
  <si>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</si>
  <si>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</si>
  <si>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</si>
  <si>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</si>
  <si>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</si>
  <si>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</si>
  <si>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</si>
  <si>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</si>
  <si>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</si>
  <si>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</si>
  <si>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</si>
  <si>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</si>
  <si>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</si>
  <si>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</si>
  <si>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</si>
  <si>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</si>
  <si>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</si>
  <si>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</si>
  <si>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</si>
  <si>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</si>
  <si>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</si>
  <si>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</si>
  <si>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</si>
  <si>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</si>
  <si>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</si>
  <si>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</si>
  <si>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</si>
  <si>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</si>
  <si>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</si>
  <si>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</si>
  <si>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</si>
  <si>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</si>
  <si>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</si>
  <si>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</si>
  <si>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</si>
  <si>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</si>
  <si>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</si>
  <si>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</si>
  <si>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</si>
  <si>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</si>
  <si>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</si>
  <si>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</si>
  <si>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</si>
  <si>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</si>
  <si>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</si>
  <si>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</si>
  <si>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</si>
  <si>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</si>
  <si>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</si>
  <si>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</si>
  <si>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</si>
  <si>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</si>
  <si>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</si>
  <si>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</si>
  <si>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</si>
  <si>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</si>
  <si>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</si>
  <si>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</si>
  <si>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</si>
  <si>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</si>
  <si>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</si>
  <si>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</si>
  <si>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</si>
  <si>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</si>
  <si>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</si>
  <si>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</si>
  <si>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</si>
  <si>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</si>
  <si>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</si>
  <si>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</si>
  <si>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</si>
  <si>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</si>
  <si>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</si>
  <si>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</si>
  <si>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</si>
  <si>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</si>
  <si>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</si>
  <si>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</si>
  <si>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</si>
  <si>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</si>
  <si>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</si>
  <si>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</si>
  <si>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</si>
  <si>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</si>
  <si>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</si>
  <si>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</si>
  <si>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</si>
  <si>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</si>
  <si>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</si>
  <si>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</si>
  <si>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</si>
  <si>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</si>
  <si>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</si>
  <si>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</si>
  <si>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</si>
  <si>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</si>
  <si>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</si>
  <si>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</si>
  <si>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</si>
  <si>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</si>
  <si>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</si>
  <si>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</si>
  <si>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</si>
  <si>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</si>
  <si>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</si>
  <si>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</si>
  <si>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</si>
  <si>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</si>
  <si>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</si>
  <si>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</si>
  <si>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</si>
  <si>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</si>
  <si>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</si>
  <si>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</si>
  <si>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</si>
  <si>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</si>
  <si>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</si>
  <si>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</si>
  <si>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</si>
  <si>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</si>
  <si>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</si>
  <si>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</si>
  <si>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</si>
  <si>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</si>
  <si>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</si>
  <si>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</si>
  <si>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</si>
  <si>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</si>
  <si>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</si>
  <si>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</si>
  <si>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</si>
  <si>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</si>
  <si>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</si>
  <si>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</si>
  <si>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</si>
  <si>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</si>
  <si>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</si>
  <si>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</si>
  <si>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</si>
  <si>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</si>
  <si>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</si>
  <si>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</si>
  <si>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</si>
  <si>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</si>
  <si>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</si>
  <si>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</si>
  <si>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</si>
  <si>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</si>
  <si>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</si>
  <si>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</si>
  <si>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</si>
  <si>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</si>
  <si>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</si>
  <si>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</si>
  <si>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</si>
  <si>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</si>
  <si>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</si>
  <si>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</si>
  <si>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</si>
  <si>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</si>
  <si>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</si>
  <si>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</si>
  <si>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</si>
  <si>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</si>
  <si>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</si>
  <si>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</si>
  <si>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</si>
  <si>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</si>
  <si>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</si>
  <si>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</si>
  <si>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</si>
  <si>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</si>
  <si>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</si>
  <si>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</si>
  <si>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</si>
  <si>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</si>
  <si>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</si>
  <si>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</si>
  <si>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</si>
  <si>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</si>
  <si>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</si>
  <si>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</si>
  <si>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</si>
  <si>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</si>
  <si>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</si>
  <si>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</si>
  <si>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</si>
  <si>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</si>
  <si>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</si>
  <si>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</si>
  <si>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</si>
  <si>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</si>
  <si>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</si>
  <si>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</si>
  <si>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</si>
  <si>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</si>
  <si>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</si>
  <si>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</si>
  <si>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</si>
  <si>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</si>
  <si>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</si>
  <si>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</si>
  <si>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</si>
  <si>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</si>
  <si>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</si>
  <si>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</si>
  <si>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</si>
  <si>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</si>
  <si>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</si>
  <si>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</si>
  <si>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</si>
  <si>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</si>
  <si>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</si>
  <si>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</si>
  <si>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</si>
  <si>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</si>
  <si>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</si>
  <si>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</si>
  <si>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</si>
  <si>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</si>
  <si>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</si>
  <si>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</si>
  <si>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</si>
  <si>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</si>
  <si>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</si>
  <si>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</si>
  <si>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</si>
  <si>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</si>
  <si>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</si>
  <si>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</si>
  <si>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</si>
  <si>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</si>
  <si>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</si>
  <si>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</si>
  <si>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</si>
  <si>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</si>
  <si>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</si>
  <si>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</si>
  <si>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</si>
  <si>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</si>
  <si>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</si>
  <si>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</si>
  <si>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</si>
  <si>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</si>
  <si>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</si>
  <si>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</si>
  <si>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</si>
  <si>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</si>
  <si>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</si>
  <si>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</si>
  <si>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</si>
  <si>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</si>
  <si>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</si>
  <si>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</si>
  <si>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</si>
  <si>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</si>
  <si>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</si>
  <si>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</si>
  <si>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</si>
  <si>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</si>
  <si>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</si>
  <si>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</si>
  <si>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</si>
  <si>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</si>
  <si>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</si>
  <si>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</si>
  <si>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</si>
  <si>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</si>
  <si>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</si>
  <si>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</si>
  <si>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</si>
  <si>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</si>
  <si>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</si>
  <si>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</si>
  <si>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</si>
  <si>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</si>
  <si>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</si>
  <si>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</si>
  <si>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</si>
  <si>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</si>
  <si>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</si>
  <si>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</si>
  <si>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</si>
  <si>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</si>
  <si>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</si>
  <si>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</si>
  <si>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</si>
  <si>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</si>
  <si>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</si>
  <si>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</si>
  <si>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</si>
  <si>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</si>
  <si>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</si>
  <si>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</si>
  <si>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</si>
  <si>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</si>
  <si>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</si>
  <si>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</si>
  <si>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</si>
  <si>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</si>
  <si>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</si>
  <si>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</si>
  <si>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</si>
  <si>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</si>
  <si>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</si>
  <si>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</si>
  <si>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</si>
  <si>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</si>
  <si>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</si>
  <si>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</si>
  <si>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</si>
  <si>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</si>
  <si>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</si>
  <si>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</si>
  <si>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</si>
  <si>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</si>
  <si>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</si>
  <si>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</si>
  <si>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</si>
  <si>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</si>
  <si>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</si>
  <si>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</si>
  <si>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</si>
  <si>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</si>
  <si>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</si>
  <si>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</si>
  <si>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</si>
  <si>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</si>
  <si>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</si>
  <si>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</si>
  <si>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</si>
  <si>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</si>
  <si>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</si>
  <si>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</si>
  <si>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</si>
  <si>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</si>
  <si>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</si>
  <si>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</si>
  <si>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</si>
  <si>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</si>
  <si>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</si>
  <si>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</si>
  <si>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</si>
  <si>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</si>
  <si>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</si>
  <si>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</si>
  <si>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</si>
  <si>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</si>
  <si>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</si>
  <si>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</si>
  <si>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</si>
  <si>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</si>
  <si>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</si>
  <si>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</si>
  <si>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</si>
  <si>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</si>
  <si>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</si>
  <si>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</si>
  <si>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</si>
  <si>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</si>
  <si>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</si>
  <si>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</si>
  <si>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</si>
  <si>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</si>
  <si>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</si>
  <si>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</si>
  <si>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</si>
  <si>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</si>
  <si>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</si>
  <si>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</si>
  <si>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</si>
  <si>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</si>
  <si>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</si>
  <si>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</si>
  <si>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</si>
  <si>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</si>
  <si>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</si>
  <si>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</si>
  <si>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</si>
  <si>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</si>
  <si>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</si>
  <si>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</si>
  <si>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</si>
  <si>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</si>
  <si>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</si>
  <si>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</si>
  <si>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</si>
  <si>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</si>
  <si>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</si>
  <si>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</si>
  <si>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</si>
  <si>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</si>
  <si>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</si>
  <si>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</si>
  <si>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</si>
  <si>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</si>
  <si>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</si>
  <si>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</si>
  <si>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</si>
  <si>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</si>
  <si>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</si>
  <si>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</si>
  <si>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</si>
  <si>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</si>
  <si>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</si>
  <si>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</si>
  <si>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</si>
  <si>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</si>
  <si>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</si>
  <si>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</si>
  <si>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</si>
  <si>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</si>
  <si>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</si>
  <si>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</si>
  <si>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</si>
  <si>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</si>
  <si>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</si>
  <si>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</si>
  <si>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</si>
  <si>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</si>
  <si>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</si>
  <si>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</si>
  <si>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</si>
  <si>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</si>
  <si>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</si>
  <si>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</si>
  <si>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</si>
  <si>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</si>
  <si>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</si>
  <si>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</si>
  <si>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</si>
  <si>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</si>
  <si>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</si>
  <si>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</si>
  <si>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</si>
  <si>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</si>
  <si>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</si>
  <si>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</si>
  <si>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</si>
  <si>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</si>
  <si>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</si>
  <si>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</si>
  <si>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</si>
  <si>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</si>
  <si>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</si>
  <si>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</si>
  <si>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</si>
  <si>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</si>
  <si>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</si>
  <si>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</si>
  <si>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</si>
  <si>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</si>
  <si>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</si>
  <si>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</si>
  <si>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</si>
  <si>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</si>
  <si>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</si>
  <si>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</si>
  <si>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</si>
  <si>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</si>
  <si>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</si>
  <si>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</si>
  <si>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</si>
  <si>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</si>
  <si>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</si>
  <si>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</si>
  <si>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</si>
  <si>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</si>
  <si>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</si>
  <si>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</si>
  <si>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</si>
  <si>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</si>
  <si>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</si>
  <si>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</si>
  <si>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</si>
  <si>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</si>
  <si>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</si>
  <si>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</si>
  <si>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</si>
  <si>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</si>
  <si>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</si>
  <si>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</si>
  <si>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</si>
  <si>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</si>
  <si>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</si>
  <si>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</si>
  <si>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</si>
  <si>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</si>
  <si>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</si>
  <si>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</si>
  <si>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</si>
  <si>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</si>
  <si>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</si>
  <si>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</si>
  <si>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</si>
  <si>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</si>
  <si>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</si>
  <si>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</si>
  <si>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</si>
  <si>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</si>
  <si>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</si>
  <si>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</si>
  <si>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</si>
  <si>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</si>
  <si>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</si>
  <si>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</si>
  <si>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</si>
  <si>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</si>
  <si>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</si>
  <si>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</si>
  <si>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</si>
  <si>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</si>
  <si>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</si>
  <si>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</si>
  <si>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</si>
  <si>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</si>
  <si>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</si>
  <si>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</si>
  <si>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</si>
  <si>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</si>
  <si>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</si>
  <si>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</si>
  <si>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</si>
  <si>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</si>
  <si>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</si>
  <si>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</si>
  <si>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</si>
  <si>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</si>
  <si>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</si>
  <si>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</si>
  <si>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</si>
  <si>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</si>
  <si>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</si>
  <si>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</si>
  <si>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</si>
  <si>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</si>
  <si>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</si>
  <si>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</si>
  <si>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</si>
  <si>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</si>
  <si>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</si>
  <si>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</si>
  <si>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</si>
  <si>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</si>
  <si>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</si>
  <si>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</si>
  <si>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</si>
  <si>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</si>
  <si>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</si>
  <si>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</si>
  <si>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</si>
  <si>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</si>
  <si>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</si>
  <si>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</si>
  <si>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</si>
  <si>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</si>
  <si>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</si>
  <si>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</si>
  <si>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</si>
  <si>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</si>
  <si>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</si>
  <si>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</si>
  <si>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</si>
  <si>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</si>
  <si>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</si>
  <si>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</si>
  <si>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</si>
  <si>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</si>
  <si>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</si>
  <si>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</si>
  <si>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</si>
  <si>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</si>
  <si>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</si>
  <si>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</si>
  <si>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</si>
  <si>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</si>
  <si>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</si>
  <si>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</si>
  <si>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</si>
  <si>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</si>
  <si>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</si>
  <si>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</si>
  <si>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</si>
  <si>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</si>
  <si>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</si>
  <si>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</si>
  <si>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</si>
  <si>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</si>
  <si>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</si>
  <si>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</si>
  <si>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</si>
  <si>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</si>
  <si>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</si>
  <si>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</si>
  <si>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</si>
  <si>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</si>
  <si>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</si>
  <si>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</si>
  <si>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</si>
  <si>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</si>
  <si>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</si>
  <si>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</si>
  <si>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</si>
  <si>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</si>
  <si>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</si>
  <si>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</si>
  <si>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</si>
  <si>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</si>
  <si>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</si>
  <si>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</si>
  <si>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</si>
  <si>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</si>
  <si>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</si>
  <si>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</si>
  <si>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</si>
  <si>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</si>
  <si>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</si>
  <si>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</si>
  <si>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</si>
  <si>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</si>
  <si>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</si>
  <si>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</si>
  <si>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</si>
  <si>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</si>
  <si>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</si>
  <si>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</si>
  <si>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</si>
  <si>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</si>
  <si>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</si>
  <si>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</si>
  <si>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</si>
  <si>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</si>
  <si>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</si>
  <si>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</si>
  <si>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</si>
  <si>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</si>
  <si>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</si>
  <si>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</si>
  <si>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</si>
  <si>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</si>
  <si>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</si>
  <si>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</si>
  <si>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</si>
  <si>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</si>
  <si>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</si>
  <si>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</si>
  <si>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</si>
  <si>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</si>
  <si>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</si>
  <si>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</si>
  <si>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</si>
  <si>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</si>
  <si>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</si>
  <si>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</si>
  <si>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</si>
  <si>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</si>
  <si>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</si>
  <si>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</si>
  <si>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</si>
  <si>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</si>
  <si>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</si>
  <si>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</si>
  <si>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</si>
  <si>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</si>
  <si>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</si>
  <si>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</si>
  <si>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</si>
  <si>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</si>
  <si>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</si>
  <si>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</si>
  <si>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</si>
  <si>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</si>
  <si>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</si>
  <si>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</si>
  <si>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</si>
  <si>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</si>
  <si>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</si>
  <si>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</si>
  <si>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</si>
  <si>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</si>
  <si>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</si>
  <si>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</si>
  <si>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</si>
  <si>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</si>
  <si>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</si>
  <si>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</si>
  <si>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</si>
  <si>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</si>
  <si>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</si>
  <si>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</si>
  <si>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</si>
  <si>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</si>
  <si>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</si>
  <si>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</si>
  <si>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</si>
  <si>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</si>
  <si>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</si>
  <si>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</si>
  <si>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</si>
  <si>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</si>
  <si>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</si>
  <si>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</si>
  <si>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</si>
  <si>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</si>
  <si>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</si>
  <si>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</si>
  <si>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</si>
  <si>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</si>
  <si>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</si>
  <si>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</si>
  <si>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</si>
  <si>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</si>
  <si>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</si>
  <si>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</si>
  <si>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</si>
  <si>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</si>
  <si>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</si>
  <si>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</si>
  <si>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</si>
  <si>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</si>
  <si>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</si>
  <si>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</si>
  <si>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</si>
  <si>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</si>
  <si>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</si>
  <si>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</si>
  <si>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</si>
  <si>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</si>
  <si>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</si>
  <si>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</si>
  <si>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</si>
  <si>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</si>
  <si>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</si>
  <si>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</si>
  <si>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</si>
  <si>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</si>
  <si>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</si>
  <si>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</si>
  <si>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</si>
  <si>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</si>
  <si>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</si>
  <si>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</si>
  <si>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</si>
  <si>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</si>
  <si>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</si>
  <si>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</si>
  <si>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</si>
  <si>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</si>
  <si>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</si>
  <si>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</si>
  <si>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</si>
  <si>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</si>
  <si>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</si>
  <si>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</si>
  <si>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</si>
  <si>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</si>
  <si>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</si>
  <si>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</si>
  <si>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</si>
  <si>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</si>
  <si>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</si>
  <si>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</si>
  <si>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</si>
  <si>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</si>
  <si>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</si>
  <si>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</si>
  <si>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</si>
  <si>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</si>
  <si>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</si>
  <si>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</si>
  <si>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</si>
  <si>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</si>
  <si>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</si>
  <si>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</si>
  <si>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</si>
  <si>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</si>
  <si>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</si>
  <si>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</si>
  <si>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</si>
  <si>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</si>
  <si>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</si>
  <si>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</si>
  <si>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</si>
  <si>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</si>
  <si>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</si>
  <si>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</si>
  <si>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</si>
  <si>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</si>
  <si>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</si>
  <si>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</si>
  <si>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</si>
  <si>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</si>
  <si>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</si>
  <si>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</si>
  <si>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</si>
  <si>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</si>
  <si>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</si>
  <si>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</si>
  <si>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</si>
  <si>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</si>
  <si>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</si>
  <si>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</si>
  <si>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</si>
  <si>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</si>
  <si>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</si>
  <si>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</si>
  <si>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</si>
  <si>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</si>
  <si>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</si>
  <si>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</si>
  <si>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</si>
  <si>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</si>
  <si>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</si>
  <si>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</si>
  <si>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</si>
  <si>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</si>
  <si>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</si>
  <si>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</si>
  <si>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</si>
  <si>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</si>
  <si>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</si>
  <si>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</si>
  <si>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</si>
  <si>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</si>
  <si>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</si>
  <si>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</si>
  <si>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</si>
  <si>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</si>
  <si>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</si>
  <si>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</si>
  <si>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</si>
  <si>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</si>
  <si>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</si>
  <si>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</si>
  <si>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</si>
  <si>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</si>
  <si>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</si>
  <si>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</si>
  <si>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</si>
  <si>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</si>
  <si>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</si>
  <si>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</si>
  <si>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</si>
  <si>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</si>
  <si>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</si>
  <si>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</si>
  <si>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</si>
  <si>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</si>
  <si>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</si>
  <si>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</si>
  <si>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</si>
  <si>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</si>
  <si>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</si>
  <si>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</si>
  <si>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</si>
  <si>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</si>
  <si>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</si>
  <si>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</si>
  <si>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</si>
  <si>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</si>
  <si>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</si>
  <si>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</si>
  <si>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</si>
  <si>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</si>
  <si>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</si>
  <si>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</si>
  <si>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</si>
  <si>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</si>
  <si>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</si>
  <si>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</si>
  <si>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</si>
  <si>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</si>
  <si>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</si>
  <si>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</si>
  <si>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</si>
  <si>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</si>
  <si>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</si>
  <si>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</si>
  <si>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</si>
  <si>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</si>
  <si>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</si>
  <si>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</si>
  <si>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</si>
  <si>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</si>
  <si>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</si>
  <si>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</si>
  <si>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</si>
  <si>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</si>
  <si>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</si>
  <si>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</si>
  <si>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</si>
  <si>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</si>
  <si>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</si>
  <si>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</si>
  <si>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</si>
  <si>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</si>
  <si>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</si>
  <si>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</si>
  <si>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</si>
  <si>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</si>
  <si>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</si>
  <si>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</si>
  <si>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</si>
  <si>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</si>
  <si>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</si>
  <si>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</si>
  <si>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</si>
  <si>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</si>
  <si>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</si>
  <si>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</si>
  <si>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</si>
  <si>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</si>
  <si>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</si>
  <si>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</si>
  <si>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</si>
  <si>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</si>
  <si>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</si>
  <si>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</si>
  <si>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</si>
  <si>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</si>
  <si>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</si>
  <si>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</si>
  <si>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</si>
  <si>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</si>
  <si>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</si>
  <si>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</si>
  <si>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</si>
  <si>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</si>
  <si>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</si>
  <si>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</si>
  <si>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</si>
  <si>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</si>
  <si>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</si>
  <si>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</si>
  <si>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</si>
  <si>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</si>
  <si>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</si>
  <si>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</si>
  <si>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</si>
  <si>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</si>
  <si>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</si>
  <si>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</si>
  <si>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</si>
  <si>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</si>
  <si>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</si>
  <si>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</si>
  <si>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</si>
  <si>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</si>
  <si>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</si>
  <si>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</si>
  <si>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</si>
  <si>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</si>
  <si>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</si>
  <si>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</si>
  <si>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</si>
  <si>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</si>
  <si>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</si>
  <si>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</si>
  <si>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</si>
  <si>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</si>
  <si>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</si>
  <si>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</si>
  <si>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</si>
  <si>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</si>
  <si>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</si>
  <si>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</si>
  <si>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</si>
  <si>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</si>
  <si>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</si>
  <si>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</si>
  <si>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</si>
  <si>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</si>
  <si>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</si>
  <si>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</si>
  <si>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</si>
  <si>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</si>
  <si>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</si>
  <si>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</si>
  <si>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</si>
  <si>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</si>
  <si>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</si>
  <si>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</si>
  <si>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</si>
  <si>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</si>
  <si>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</si>
  <si>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</si>
  <si>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</si>
  <si>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</si>
  <si>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</si>
  <si>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</si>
  <si>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</si>
  <si>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</si>
  <si>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</si>
  <si>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</si>
  <si>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</si>
  <si>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</si>
  <si>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</si>
  <si>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</si>
  <si>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</si>
  <si>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</si>
  <si>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</si>
  <si>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</si>
  <si>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</si>
  <si>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</si>
  <si>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</si>
  <si>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</si>
  <si>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</si>
  <si>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</si>
  <si>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</si>
  <si>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</si>
  <si>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</si>
  <si>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</si>
  <si>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</si>
  <si>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</si>
  <si>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</si>
  <si>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</si>
  <si>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</si>
  <si>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</si>
  <si>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</si>
  <si>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</si>
  <si>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</si>
  <si>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</si>
  <si>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</si>
  <si>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</si>
  <si>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</si>
  <si>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</si>
  <si>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</si>
  <si>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</si>
  <si>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</si>
  <si>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</si>
  <si>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</si>
  <si>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</si>
  <si>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</si>
  <si>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</si>
  <si>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</si>
  <si>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</si>
  <si>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</si>
  <si>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</si>
  <si>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</si>
  <si>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</si>
  <si>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</si>
  <si>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</si>
  <si>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</si>
  <si>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</si>
  <si>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</si>
  <si>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</si>
  <si>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</si>
  <si>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</si>
  <si>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</si>
  <si>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</si>
  <si>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</si>
  <si>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</si>
  <si>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</si>
  <si>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</si>
  <si>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</si>
  <si>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</si>
  <si>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</si>
  <si>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</si>
  <si>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</si>
  <si>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</si>
  <si>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</si>
  <si>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</si>
  <si>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</si>
  <si>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</si>
  <si>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</si>
  <si>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</si>
  <si>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</si>
  <si>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</si>
  <si>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</si>
  <si>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</si>
  <si>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</si>
  <si>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</si>
  <si>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</si>
  <si>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</si>
  <si>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</si>
  <si>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</si>
  <si>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</si>
  <si>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</si>
  <si>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</si>
  <si>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</si>
  <si>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</si>
  <si>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</si>
  <si>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</si>
  <si>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</si>
  <si>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</si>
  <si>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</si>
  <si>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</si>
  <si>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</si>
  <si>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</si>
  <si>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</si>
  <si>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</si>
  <si>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</si>
  <si>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</si>
  <si>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</si>
  <si>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</si>
  <si>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</si>
  <si>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</si>
  <si>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</si>
  <si>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</si>
  <si>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</si>
  <si>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</si>
  <si>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</si>
  <si>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</si>
  <si>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</si>
  <si>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</si>
  <si>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</si>
  <si>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</si>
  <si>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</si>
  <si>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</si>
  <si>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</si>
  <si>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</si>
  <si>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</si>
  <si>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</si>
  <si>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</si>
  <si>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</si>
  <si>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</si>
  <si>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</si>
  <si>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</si>
  <si>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</si>
  <si>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</si>
  <si>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</si>
  <si>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</si>
  <si>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</si>
  <si>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</si>
  <si>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</si>
  <si>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</si>
  <si>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</si>
  <si>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</si>
  <si>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</si>
  <si>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</si>
  <si>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</si>
  <si>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</si>
  <si>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</si>
  <si>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</si>
  <si>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</si>
  <si>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</si>
  <si>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</si>
  <si>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</si>
  <si>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</si>
  <si>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</si>
  <si>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</si>
  <si>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</si>
  <si>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</si>
  <si>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</si>
  <si>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</si>
  <si>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</si>
  <si>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</si>
  <si>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</si>
  <si>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</si>
  <si>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</si>
  <si>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</si>
  <si>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</si>
  <si>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</si>
  <si>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</si>
  <si>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</si>
  <si>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</si>
  <si>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</si>
  <si>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</si>
  <si>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</si>
  <si>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</si>
  <si>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</si>
  <si>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</si>
  <si>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</si>
  <si>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</si>
  <si>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</si>
  <si>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</si>
  <si>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</si>
  <si>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</si>
  <si>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</si>
  <si>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</si>
  <si>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</si>
  <si>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</si>
  <si>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</si>
  <si>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</si>
  <si>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</si>
  <si>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</si>
  <si>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</si>
  <si>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</si>
  <si>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</si>
  <si>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</si>
  <si>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</si>
  <si>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</si>
  <si>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</si>
  <si>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</si>
  <si>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</si>
  <si>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</si>
  <si>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</si>
  <si>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</si>
  <si>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</si>
  <si>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</si>
  <si>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</si>
  <si>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</si>
  <si>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</si>
  <si>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</si>
  <si>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</si>
  <si>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</si>
  <si>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</si>
  <si>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</si>
  <si>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</si>
  <si>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</si>
  <si>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</si>
  <si>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</si>
  <si>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</si>
  <si>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</si>
  <si>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</si>
  <si>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</si>
  <si>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</si>
  <si>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</si>
  <si>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</si>
  <si>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</si>
  <si>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</si>
  <si>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</si>
  <si>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</si>
  <si>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</si>
  <si>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</si>
  <si>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</si>
  <si>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</si>
  <si>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</si>
  <si>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</si>
  <si>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</si>
  <si>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</si>
  <si>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</si>
  <si>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</si>
  <si>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</si>
  <si>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</si>
  <si>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</si>
  <si>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</si>
  <si>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</si>
  <si>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</si>
  <si>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</si>
  <si>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</si>
  <si>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</si>
  <si>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</si>
  <si>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</si>
  <si>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</si>
  <si>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</si>
  <si>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</si>
  <si>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</si>
  <si>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</si>
  <si>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</si>
  <si>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</si>
  <si>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</si>
  <si>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</si>
  <si>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</si>
  <si>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</si>
  <si>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</si>
  <si>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</si>
  <si>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</si>
  <si>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</si>
  <si>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</si>
  <si>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</si>
  <si>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</si>
  <si>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</si>
  <si>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</si>
  <si>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</si>
  <si>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</si>
  <si>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</si>
  <si>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</si>
  <si>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</si>
  <si>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</si>
  <si>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</si>
  <si>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</si>
  <si>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</si>
  <si>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</si>
  <si>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</si>
  <si>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</si>
  <si>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</si>
  <si>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</si>
  <si>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</si>
  <si>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</si>
  <si>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</si>
  <si>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</si>
  <si>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</si>
  <si>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</si>
  <si>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</si>
  <si>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</si>
  <si>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</si>
  <si>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</si>
  <si>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</si>
  <si>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</si>
  <si>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</si>
  <si>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</si>
  <si>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</si>
  <si>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</si>
  <si>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</si>
  <si>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</si>
  <si>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</si>
  <si>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</si>
  <si>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</si>
  <si>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</si>
  <si>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</si>
  <si>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</si>
  <si>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</si>
  <si>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</si>
  <si>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</si>
  <si>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</si>
  <si>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</si>
  <si>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</si>
  <si>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</si>
  <si>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</si>
  <si>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</si>
  <si>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</si>
  <si>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</si>
  <si>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</si>
  <si>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</si>
  <si>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</si>
  <si>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</si>
  <si>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</si>
  <si>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</si>
  <si>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</si>
  <si>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</si>
  <si>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</si>
  <si>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</si>
  <si>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</si>
  <si>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</si>
  <si>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</si>
  <si>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</si>
  <si>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</si>
  <si>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</si>
  <si>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</si>
  <si>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</si>
  <si>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</si>
  <si>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</si>
  <si>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</si>
  <si>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</si>
  <si>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</si>
  <si>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</si>
  <si>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</si>
  <si>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</si>
  <si>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</si>
  <si>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</si>
  <si>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</si>
  <si>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</si>
  <si>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</si>
  <si>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</si>
  <si>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</si>
  <si>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</si>
  <si>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</si>
  <si>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</si>
  <si>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</si>
  <si>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</si>
  <si>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</si>
  <si>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</si>
  <si>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</si>
  <si>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</si>
  <si>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</si>
  <si>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</si>
  <si>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</si>
  <si>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</si>
  <si>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</si>
  <si>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</si>
  <si>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</si>
  <si>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</si>
  <si>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</si>
  <si>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</si>
  <si>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</si>
  <si>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</si>
  <si>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</si>
  <si>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</si>
  <si>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</si>
  <si>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</si>
  <si>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</si>
  <si>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</si>
  <si>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</si>
  <si>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</si>
  <si>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</si>
  <si>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</si>
  <si>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</si>
  <si>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</si>
  <si>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</si>
  <si>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</si>
  <si>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</si>
  <si>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</si>
  <si>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</si>
  <si>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</si>
  <si>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</si>
  <si>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</si>
  <si>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</si>
  <si>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</si>
  <si>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</si>
  <si>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</si>
  <si>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</si>
  <si>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</si>
  <si>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</si>
  <si>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</si>
  <si>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</si>
  <si>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</si>
  <si>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</si>
  <si>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</si>
  <si>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</si>
  <si>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</si>
  <si>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</si>
  <si>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</si>
  <si>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</si>
  <si>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</si>
  <si>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</si>
  <si>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</si>
  <si>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</si>
  <si>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</si>
  <si>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</si>
  <si>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</si>
  <si>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</si>
  <si>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</si>
  <si>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</si>
  <si>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</si>
  <si>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</si>
  <si>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</si>
  <si>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</si>
  <si>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</si>
  <si>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</si>
  <si>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</si>
  <si>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</si>
  <si>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</si>
  <si>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</si>
  <si>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</si>
  <si>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</si>
  <si>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</si>
  <si>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</si>
  <si>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</si>
  <si>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</si>
  <si>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</si>
  <si>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</si>
  <si>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</si>
  <si>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</si>
  <si>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</si>
  <si>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</si>
  <si>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</si>
  <si>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</si>
  <si>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</si>
  <si>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</si>
  <si>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</si>
  <si>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</si>
  <si>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</si>
  <si>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</si>
  <si>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</si>
  <si>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</si>
  <si>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</si>
  <si>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</si>
  <si>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</si>
  <si>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</si>
  <si>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</si>
  <si>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</si>
  <si>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</si>
  <si>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</si>
  <si>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</si>
  <si>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</si>
  <si>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</si>
  <si>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</si>
  <si>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</si>
  <si>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</si>
  <si>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</si>
  <si>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</si>
  <si>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</si>
  <si>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</si>
  <si>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</si>
  <si>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</si>
  <si>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</si>
  <si>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</si>
  <si>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</si>
  <si>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</si>
  <si>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</si>
  <si>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</si>
  <si>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</si>
  <si>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</si>
  <si>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</si>
  <si>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</si>
  <si>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</si>
  <si>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</si>
  <si>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</si>
  <si>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</si>
  <si>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</si>
  <si>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</si>
  <si>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</si>
  <si>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</si>
  <si>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</si>
  <si>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</si>
  <si>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</si>
  <si>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</si>
  <si>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</si>
  <si>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</si>
  <si>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</si>
  <si>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</si>
  <si>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</si>
  <si>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</si>
  <si>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</si>
  <si>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</si>
  <si>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</si>
  <si>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</si>
  <si>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</si>
  <si>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</si>
  <si>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</si>
  <si>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</si>
  <si>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</si>
  <si>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</si>
  <si>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</si>
  <si>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</si>
  <si>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</si>
  <si>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</si>
  <si>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</si>
  <si>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</si>
  <si>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</si>
  <si>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</si>
  <si>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</si>
  <si>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</si>
  <si>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</si>
  <si>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</si>
  <si>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</si>
  <si>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</si>
  <si>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</si>
  <si>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</si>
  <si>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</si>
  <si>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</si>
  <si>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</si>
  <si>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</si>
  <si>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</si>
  <si>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</si>
  <si>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</si>
  <si>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</si>
  <si>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</si>
  <si>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</si>
  <si>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</si>
  <si>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</si>
  <si>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</si>
  <si>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</si>
  <si>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</si>
  <si>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</si>
  <si>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</si>
  <si>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</si>
  <si>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</si>
  <si>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</si>
  <si>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</si>
  <si>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</si>
  <si>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</si>
  <si>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</si>
  <si>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</si>
  <si>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</si>
  <si>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</si>
  <si>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</si>
  <si>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</si>
  <si>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</si>
  <si>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</si>
  <si>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</si>
  <si>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</si>
  <si>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</si>
  <si>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</si>
  <si>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</si>
  <si>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</si>
  <si>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</si>
  <si>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</si>
  <si>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</si>
  <si>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</si>
  <si>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</si>
  <si>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</si>
  <si>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</si>
  <si>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</si>
  <si>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</si>
  <si>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</si>
  <si>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</si>
  <si>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</si>
  <si>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</si>
  <si>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</si>
  <si>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</si>
  <si>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</si>
  <si>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</si>
  <si>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</si>
  <si>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</si>
  <si>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</si>
  <si>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</si>
  <si>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</si>
  <si>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</si>
  <si>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</si>
  <si>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</si>
  <si>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</si>
  <si>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</si>
  <si>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</si>
  <si>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</si>
  <si>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</si>
  <si>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</si>
  <si>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</si>
  <si>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</si>
  <si>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</si>
  <si>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</si>
  <si>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</si>
  <si>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</si>
  <si>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</si>
  <si>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</si>
  <si>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</si>
  <si>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</si>
  <si>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</si>
  <si>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</si>
  <si>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</si>
  <si>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</si>
  <si>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</si>
  <si>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</si>
  <si>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</si>
  <si>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</si>
  <si>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</si>
  <si>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</si>
  <si>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</si>
  <si>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</si>
  <si>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</si>
  <si>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</si>
  <si>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</si>
  <si>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</si>
  <si>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</si>
  <si>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</si>
  <si>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</si>
  <si>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</si>
  <si>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</si>
  <si>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</si>
  <si>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</si>
  <si>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</si>
  <si>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</si>
  <si>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</si>
  <si>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</si>
  <si>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</si>
  <si>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</si>
  <si>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</si>
  <si>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</si>
  <si>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</si>
  <si>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</si>
  <si>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</si>
  <si>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</si>
  <si>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</si>
  <si>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</si>
  <si>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</si>
  <si>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</si>
  <si>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</si>
  <si>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</si>
  <si>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</si>
  <si>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</si>
  <si>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</si>
  <si>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</si>
  <si>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</si>
  <si>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</si>
  <si>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</si>
  <si>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</si>
  <si>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</si>
  <si>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</si>
  <si>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</si>
  <si>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</si>
  <si>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</si>
  <si>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</si>
  <si>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</si>
  <si>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</si>
  <si>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</si>
  <si>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</si>
  <si>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</si>
  <si>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</si>
  <si>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</si>
  <si>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</si>
  <si>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</si>
  <si>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</si>
  <si>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</si>
  <si>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</si>
  <si>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</si>
  <si>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</si>
  <si>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</si>
  <si>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</si>
  <si>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</si>
  <si>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</si>
  <si>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</si>
  <si>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</si>
  <si>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</si>
  <si>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</si>
  <si>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</si>
  <si>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</si>
  <si>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</si>
  <si>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</si>
  <si>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</si>
  <si>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</si>
  <si>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</si>
  <si>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</si>
  <si>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</si>
  <si>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</si>
  <si>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</si>
  <si>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</si>
  <si>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</si>
  <si>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</si>
  <si>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</si>
  <si>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</si>
  <si>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</si>
  <si>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</si>
  <si>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</si>
  <si>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</si>
  <si>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</si>
  <si>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</si>
  <si>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</si>
  <si>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</si>
  <si>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</si>
  <si>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</si>
  <si>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</si>
  <si>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</si>
  <si>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</si>
  <si>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</si>
  <si>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</si>
  <si>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</si>
  <si>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</si>
  <si>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</si>
  <si>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</si>
  <si>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</si>
  <si>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</si>
  <si>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</si>
  <si>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</si>
  <si>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</si>
  <si>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</si>
  <si>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</si>
  <si>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</si>
  <si>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</si>
  <si>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</si>
  <si>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</si>
  <si>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</si>
  <si>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</si>
  <si>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</si>
  <si>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</si>
  <si>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</si>
  <si>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</si>
  <si>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</si>
  <si>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</si>
  <si>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</si>
  <si>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</si>
  <si>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</si>
  <si>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</si>
  <si>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</si>
  <si>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</si>
  <si>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</si>
  <si>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</si>
  <si>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</si>
  <si>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</si>
  <si>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</si>
  <si>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</si>
  <si>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</si>
  <si>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</si>
  <si>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</si>
  <si>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</si>
  <si>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</si>
  <si>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</si>
  <si>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</si>
  <si>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</si>
  <si>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</si>
  <si>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</si>
  <si>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</si>
  <si>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</si>
  <si>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</si>
  <si>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</si>
  <si>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</si>
  <si>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</si>
  <si>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</si>
  <si>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</si>
  <si>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</si>
  <si>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</si>
  <si>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</si>
  <si>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</si>
  <si>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</si>
  <si>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</si>
  <si>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</si>
  <si>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</si>
  <si>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</si>
  <si>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</si>
  <si>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</si>
  <si>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</si>
  <si>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</si>
  <si>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</si>
  <si>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</si>
  <si>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</si>
  <si>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</si>
  <si>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</si>
  <si>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</si>
  <si>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</si>
  <si>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</si>
  <si>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</si>
  <si>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</si>
  <si>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</si>
  <si>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</si>
  <si>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</si>
  <si>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</si>
  <si>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</si>
  <si>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</si>
  <si>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</si>
  <si>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</si>
  <si>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</si>
  <si>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</si>
  <si>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</si>
  <si>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</si>
  <si>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</si>
  <si>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</si>
  <si>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</si>
  <si>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</si>
  <si>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</si>
  <si>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</si>
  <si>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</si>
  <si>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</si>
  <si>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</si>
  <si>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</si>
  <si>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</si>
  <si>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</si>
  <si>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</si>
  <si>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</si>
  <si>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</si>
  <si>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</si>
  <si>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</si>
  <si>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</si>
  <si>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</si>
  <si>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</si>
  <si>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</si>
  <si>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</si>
  <si>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</si>
  <si>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</si>
  <si>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</si>
  <si>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</si>
  <si>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</si>
  <si>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</si>
  <si>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</si>
  <si>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</si>
  <si>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</si>
  <si>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</si>
  <si>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</si>
  <si>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</si>
  <si>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</si>
  <si>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</si>
  <si>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</si>
  <si>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</si>
  <si>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</si>
  <si>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</si>
  <si>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</si>
  <si>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</si>
  <si>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</si>
  <si>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</si>
  <si>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</si>
  <si>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</si>
  <si>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</si>
  <si>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</si>
  <si>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</si>
  <si>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</si>
  <si>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</si>
  <si>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</si>
  <si>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</si>
  <si>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</si>
  <si>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</si>
  <si>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</si>
  <si>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</si>
  <si>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</si>
  <si>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</si>
  <si>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</si>
  <si>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</si>
  <si>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</si>
  <si>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</si>
  <si>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</si>
  <si>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</si>
  <si>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</si>
  <si>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</si>
  <si>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</si>
  <si>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</si>
  <si>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</si>
  <si>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</si>
  <si>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</si>
  <si>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</si>
  <si>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</si>
  <si>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</si>
  <si>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</si>
  <si>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</si>
  <si>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</si>
  <si>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</si>
  <si>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</si>
  <si>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</si>
  <si>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</si>
  <si>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</si>
  <si>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</si>
  <si>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</si>
  <si>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</si>
  <si>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</si>
  <si>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</si>
  <si>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</si>
  <si>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</si>
  <si>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</si>
  <si>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</si>
  <si>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</si>
  <si>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</si>
  <si>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</si>
  <si>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</si>
  <si>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</si>
  <si>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</si>
  <si>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</si>
  <si>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</si>
  <si>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</si>
  <si>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</si>
  <si>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</si>
  <si>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</si>
  <si>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</si>
  <si>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</si>
  <si>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</si>
  <si>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</si>
  <si>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</si>
  <si>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</si>
  <si>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</si>
  <si>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</si>
  <si>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</si>
  <si>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</si>
  <si>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</si>
  <si>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</si>
  <si>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</si>
  <si>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</si>
  <si>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</si>
  <si>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</si>
  <si>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</si>
  <si>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</si>
  <si>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</si>
  <si>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</si>
  <si>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</si>
  <si>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</si>
  <si>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</si>
  <si>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</si>
  <si>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</si>
  <si>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</si>
  <si>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</si>
  <si>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</si>
  <si>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</si>
  <si>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</si>
  <si>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</si>
  <si>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</si>
  <si>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</si>
  <si>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</si>
  <si>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</si>
  <si>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</si>
  <si>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</si>
  <si>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</si>
  <si>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</si>
  <si>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</si>
  <si>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</si>
  <si>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</si>
  <si>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</si>
  <si>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</si>
  <si>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</si>
  <si>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</si>
  <si>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</si>
  <si>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</si>
  <si>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</si>
  <si>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</si>
  <si>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</si>
  <si>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</si>
  <si>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</si>
  <si>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</si>
  <si>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</si>
  <si>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</si>
  <si>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</si>
  <si>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</si>
  <si>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</si>
  <si>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</si>
  <si>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</si>
  <si>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</si>
  <si>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</si>
  <si>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</si>
  <si>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</si>
  <si>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</si>
  <si>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</si>
  <si>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</si>
  <si>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</si>
  <si>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</si>
  <si>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</si>
  <si>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</si>
  <si>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</si>
  <si>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</si>
  <si>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</si>
  <si>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</si>
  <si>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</si>
  <si>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</si>
  <si>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</si>
  <si>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</si>
  <si>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</si>
  <si>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</si>
  <si>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</si>
  <si>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</si>
  <si>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</si>
  <si>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</si>
  <si>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</si>
  <si>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</si>
  <si>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</si>
  <si>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</si>
  <si>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</si>
  <si>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</si>
  <si>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</si>
  <si>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</si>
  <si>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</si>
  <si>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</si>
  <si>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</si>
  <si>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</si>
  <si>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</si>
  <si>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</si>
  <si>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</si>
  <si>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</si>
  <si>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</si>
  <si>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</si>
  <si>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</si>
  <si>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</si>
  <si>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</si>
  <si>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</si>
  <si>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</si>
  <si>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</si>
  <si>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</si>
  <si>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</si>
  <si>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</si>
  <si>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</si>
  <si>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</si>
  <si>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</si>
  <si>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</si>
  <si>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</si>
  <si>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</si>
  <si>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</si>
  <si>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</si>
  <si>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</si>
  <si>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</si>
  <si>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</si>
  <si>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</si>
  <si>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</si>
  <si>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</si>
  <si>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</si>
  <si>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</si>
  <si>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</si>
  <si>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</si>
  <si>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</si>
  <si>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</si>
  <si>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</si>
  <si>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</si>
  <si>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</si>
  <si>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</si>
  <si>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</si>
  <si>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</si>
  <si>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</si>
  <si>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</si>
  <si>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</si>
  <si>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</si>
  <si>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</si>
  <si>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</si>
  <si>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</si>
  <si>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</si>
  <si>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</si>
  <si>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</si>
  <si>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</si>
  <si>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</si>
  <si>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</si>
  <si>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</si>
  <si>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</si>
  <si>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</si>
  <si>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</si>
  <si>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</si>
  <si>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</si>
  <si>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</si>
  <si>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</si>
  <si>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</si>
  <si>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</si>
  <si>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</si>
  <si>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</si>
  <si>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</si>
  <si>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</si>
  <si>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</si>
  <si>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</si>
  <si>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</si>
  <si>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</si>
  <si>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</si>
  <si>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</si>
  <si>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</si>
  <si>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</si>
  <si>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</si>
  <si>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</si>
  <si>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</si>
  <si>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</si>
  <si>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</si>
  <si>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</si>
  <si>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</si>
  <si>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</si>
  <si>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</si>
  <si>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</si>
  <si>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</si>
  <si>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</si>
  <si>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</si>
  <si>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</si>
  <si>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</si>
  <si>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</si>
  <si>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</si>
  <si>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</si>
  <si>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</si>
  <si>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</si>
  <si>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</si>
  <si>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</si>
  <si>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</si>
  <si>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</si>
  <si>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</si>
  <si>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</si>
  <si>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</si>
  <si>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</si>
  <si>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</si>
  <si>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</si>
  <si>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</si>
  <si>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</si>
  <si>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</si>
  <si>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</si>
  <si>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</si>
  <si>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</si>
  <si>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</si>
  <si>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</si>
  <si>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</si>
  <si>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</si>
  <si>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</si>
  <si>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</si>
  <si>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</si>
  <si>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</si>
  <si>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</si>
  <si>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</si>
  <si>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</si>
  <si>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</si>
  <si>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</si>
  <si>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</si>
  <si>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</si>
  <si>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</si>
  <si>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</si>
  <si>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</si>
  <si>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</si>
  <si>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</si>
  <si>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</si>
  <si>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</si>
  <si>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</si>
  <si>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</si>
  <si>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</si>
  <si>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</si>
  <si>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</si>
  <si>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</si>
  <si>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</si>
  <si>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</si>
  <si>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</si>
  <si>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</si>
  <si>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</si>
  <si>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</si>
  <si>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</si>
  <si>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</si>
  <si>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</si>
  <si>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</si>
  <si>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</si>
  <si>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</si>
  <si>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</si>
  <si>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</si>
  <si>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</si>
  <si>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</si>
  <si>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</si>
  <si>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</si>
  <si>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</si>
  <si>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</si>
  <si>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</si>
  <si>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</si>
  <si>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</si>
  <si>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</si>
  <si>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</si>
  <si>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</si>
  <si>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</si>
  <si>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</si>
  <si>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</si>
  <si>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</si>
  <si>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</si>
  <si>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</si>
  <si>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</si>
  <si>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</si>
  <si>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</si>
  <si>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</si>
  <si>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</si>
  <si>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</si>
  <si>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</si>
  <si>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</si>
  <si>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</si>
  <si>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</si>
  <si>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</si>
  <si>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</si>
  <si>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</si>
  <si>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</si>
  <si>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</si>
  <si>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</si>
  <si>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</si>
  <si>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</si>
  <si>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</si>
  <si>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</si>
  <si>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</si>
  <si>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</si>
  <si>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</si>
  <si>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</si>
  <si>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</si>
  <si>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</si>
  <si>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</si>
  <si>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</si>
  <si>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</si>
  <si>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</si>
  <si>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</si>
  <si>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</si>
  <si>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</si>
  <si>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</si>
  <si>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</si>
  <si>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</si>
  <si>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</si>
  <si>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</si>
  <si>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</si>
  <si>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</si>
  <si>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</si>
  <si>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</si>
  <si>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</si>
  <si>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</si>
  <si>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</si>
  <si>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</si>
  <si>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</si>
  <si>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</si>
  <si>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</si>
  <si>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</si>
  <si>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</si>
  <si>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</si>
  <si>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</si>
  <si>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</si>
  <si>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</si>
  <si>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</si>
  <si>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</si>
  <si>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</si>
  <si>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</si>
  <si>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</si>
  <si>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</si>
  <si>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</si>
  <si>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</si>
  <si>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</si>
  <si>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</si>
  <si>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</si>
  <si>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</si>
  <si>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</si>
  <si>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</si>
  <si>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</si>
  <si>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</si>
  <si>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</si>
  <si>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</si>
  <si>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</si>
  <si>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</si>
  <si>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</si>
  <si>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</si>
  <si>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</si>
  <si>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</si>
  <si>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</si>
  <si>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</si>
  <si>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</si>
  <si>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</si>
  <si>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</si>
  <si>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</si>
  <si>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</si>
  <si>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</si>
  <si>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</si>
  <si>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</si>
  <si>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</si>
  <si>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</si>
  <si>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</si>
  <si>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</si>
  <si>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</si>
  <si>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</si>
  <si>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</si>
  <si>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</si>
  <si>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</si>
  <si>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</si>
  <si>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</si>
  <si>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</si>
  <si>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</si>
  <si>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</si>
  <si>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</si>
  <si>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</si>
  <si>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</si>
  <si>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</si>
  <si>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</si>
  <si>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</si>
  <si>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</si>
  <si>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</si>
  <si>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</si>
  <si>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</si>
  <si>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</si>
  <si>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</si>
  <si>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</si>
  <si>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</si>
  <si>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</si>
  <si>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</si>
  <si>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</si>
  <si>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</si>
  <si>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</si>
  <si>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</si>
  <si>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</si>
  <si>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</si>
  <si>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</si>
  <si>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</si>
  <si>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</si>
  <si>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</si>
  <si>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</si>
  <si>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</si>
  <si>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</si>
  <si>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</si>
  <si>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</si>
  <si>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</si>
  <si>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</si>
  <si>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</si>
  <si>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</si>
  <si>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</si>
  <si>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</si>
  <si>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</si>
  <si>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</si>
  <si>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</si>
  <si>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</si>
  <si>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</si>
  <si>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</si>
  <si>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</si>
  <si>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</si>
  <si>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</si>
  <si>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</si>
  <si>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</si>
  <si>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</si>
  <si>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</si>
  <si>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</si>
  <si>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</si>
  <si>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</si>
  <si>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</si>
  <si>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</si>
  <si>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</si>
  <si>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</si>
  <si>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</si>
  <si>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</si>
  <si>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</si>
  <si>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</si>
  <si>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</si>
  <si>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</si>
  <si>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</si>
  <si>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</si>
  <si>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</si>
  <si>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</si>
  <si>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</si>
  <si>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</si>
  <si>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</si>
  <si>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</si>
  <si>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</si>
  <si>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</si>
  <si>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</si>
  <si>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</si>
  <si>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</si>
  <si>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</si>
  <si>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</si>
  <si>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</si>
  <si>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</si>
  <si>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</si>
  <si>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</si>
  <si>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</si>
  <si>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</si>
  <si>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</si>
  <si>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</si>
  <si>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</si>
  <si>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</si>
  <si>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</si>
  <si>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</si>
  <si>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</si>
  <si>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</si>
  <si>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</si>
  <si>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</si>
  <si>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</si>
  <si>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</si>
  <si>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</si>
  <si>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</si>
  <si>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</si>
  <si>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</si>
  <si>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</si>
  <si>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</si>
  <si>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</si>
  <si>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</si>
  <si>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</si>
  <si>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</si>
  <si>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</si>
  <si>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</si>
  <si>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</si>
  <si>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</si>
  <si>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</si>
  <si>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</si>
  <si>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</si>
  <si>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</si>
  <si>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</si>
  <si>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</si>
  <si>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</si>
  <si>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</si>
  <si>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</si>
  <si>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</si>
  <si>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</si>
  <si>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</si>
  <si>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</si>
  <si>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</si>
  <si>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</si>
  <si>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</si>
  <si>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</si>
  <si>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</si>
  <si>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</si>
  <si>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</si>
  <si>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</si>
  <si>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</si>
  <si>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</si>
  <si>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</si>
  <si>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</si>
  <si>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</si>
  <si>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</si>
  <si>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</si>
  <si>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</si>
  <si>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</si>
  <si>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</si>
  <si>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</si>
  <si>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</si>
  <si>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</si>
  <si>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</si>
  <si>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</si>
  <si>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</si>
  <si>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</si>
  <si>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</si>
  <si>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</si>
  <si>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</si>
  <si>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</si>
  <si>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</si>
  <si>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</si>
  <si>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</si>
  <si>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</si>
  <si>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</si>
  <si>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</si>
  <si>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</si>
  <si>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</si>
  <si>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</si>
  <si>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</si>
  <si>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</si>
  <si>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</si>
  <si>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</si>
  <si>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</si>
  <si>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</si>
  <si>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</si>
  <si>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</si>
  <si>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</si>
  <si>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</si>
  <si>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</si>
  <si>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</si>
  <si>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</si>
  <si>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</si>
  <si>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</si>
  <si>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</si>
  <si>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</si>
  <si>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</si>
  <si>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</si>
  <si>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</si>
  <si>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</si>
  <si>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</si>
  <si>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</si>
  <si>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</si>
  <si>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</si>
  <si>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</si>
  <si>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</si>
  <si>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</si>
  <si>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</si>
  <si>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</si>
  <si>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</si>
  <si>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</si>
  <si>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</si>
  <si>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</si>
  <si>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</si>
  <si>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</si>
  <si>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</si>
  <si>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</si>
  <si>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</si>
  <si>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</si>
  <si>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</si>
  <si>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</si>
  <si>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</si>
  <si>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</si>
  <si>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</si>
  <si>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</si>
  <si>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</si>
  <si>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</si>
  <si>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</si>
  <si>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</si>
  <si>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</si>
  <si>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</si>
  <si>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</si>
  <si>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</si>
  <si>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</si>
  <si>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</si>
  <si>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</si>
  <si>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</si>
  <si>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</si>
  <si>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</si>
  <si>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</si>
  <si>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</si>
  <si>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</si>
  <si>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</si>
  <si>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</si>
  <si>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</si>
  <si>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</si>
  <si>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</si>
  <si>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</si>
  <si>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</si>
  <si>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</si>
  <si>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</si>
  <si>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</si>
  <si>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</si>
  <si>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</si>
  <si>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</si>
  <si>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</si>
  <si>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</si>
  <si>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</si>
  <si>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</si>
  <si>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</si>
  <si>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</si>
  <si>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</si>
  <si>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</si>
  <si>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</si>
  <si>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</si>
  <si>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</si>
  <si>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</si>
  <si>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</si>
  <si>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</si>
  <si>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</si>
  <si>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</si>
  <si>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</si>
  <si>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</si>
  <si>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</si>
  <si>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</si>
  <si>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</si>
  <si>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</si>
  <si>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</si>
  <si>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</si>
  <si>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</si>
  <si>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</si>
  <si>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</si>
  <si>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</si>
  <si>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</si>
  <si>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</si>
  <si>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</si>
  <si>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</si>
  <si>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</si>
  <si>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</si>
  <si>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</si>
  <si>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</si>
  <si>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</si>
  <si>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</si>
  <si>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</si>
  <si>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</si>
  <si>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</si>
  <si>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</si>
  <si>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</si>
  <si>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</si>
  <si>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</si>
  <si>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</si>
  <si>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</si>
  <si>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</si>
  <si>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</si>
  <si>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</si>
  <si>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</si>
  <si>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</si>
  <si>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</si>
  <si>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</si>
  <si>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</si>
  <si>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</si>
  <si>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</si>
  <si>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</si>
  <si>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</si>
  <si>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</si>
  <si>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</si>
  <si>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</si>
  <si>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</si>
  <si>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</si>
  <si>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</si>
  <si>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</si>
  <si>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</si>
  <si>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</si>
  <si>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</si>
  <si>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</si>
  <si>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</si>
  <si>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</si>
  <si>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</si>
  <si>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</si>
  <si>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</si>
  <si>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</si>
  <si>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</si>
  <si>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</si>
  <si>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</si>
  <si>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</si>
  <si>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</si>
  <si>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</si>
  <si>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</si>
  <si>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</si>
  <si>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</si>
  <si>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</si>
  <si>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</si>
  <si>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</si>
  <si>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</si>
  <si>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</si>
  <si>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</si>
  <si>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</si>
  <si>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</si>
  <si>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</si>
  <si>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</si>
  <si>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</si>
  <si>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</si>
  <si>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</si>
  <si>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</si>
  <si>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</si>
  <si>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</si>
  <si>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</si>
  <si>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</si>
  <si>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</si>
  <si>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</si>
  <si>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</si>
  <si>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</si>
  <si>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</si>
  <si>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</si>
  <si>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</si>
  <si>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</si>
  <si>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</si>
  <si>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</si>
  <si>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</si>
  <si>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</si>
  <si>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</si>
  <si>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</si>
  <si>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</si>
  <si>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</si>
  <si>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</si>
  <si>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</si>
  <si>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</si>
  <si>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</si>
  <si>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</si>
  <si>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</si>
  <si>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</si>
  <si>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</si>
  <si>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</si>
  <si>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</si>
  <si>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</si>
  <si>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</si>
  <si>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</si>
  <si>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</si>
  <si>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</si>
  <si>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</si>
  <si>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</si>
  <si>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</si>
  <si>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</si>
  <si>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</si>
  <si>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</si>
  <si>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</si>
  <si>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</si>
  <si>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</si>
  <si>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</si>
  <si>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</si>
  <si>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</si>
  <si>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</si>
  <si>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</si>
  <si>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</si>
  <si>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</si>
  <si>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</si>
  <si>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</si>
  <si>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</si>
  <si>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</si>
  <si>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</si>
  <si>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</si>
  <si>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</si>
  <si>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</si>
  <si>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</si>
  <si>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</si>
  <si>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</si>
  <si>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</si>
  <si>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</si>
  <si>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</si>
  <si>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</si>
  <si>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</si>
  <si>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</si>
  <si>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</si>
  <si>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</si>
  <si>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</si>
  <si>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</si>
  <si>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</si>
  <si>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</si>
  <si>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</si>
  <si>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</si>
  <si>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</si>
  <si>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</si>
  <si>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</si>
  <si>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</si>
  <si>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</si>
  <si>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</si>
  <si>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</si>
  <si>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</si>
  <si>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</si>
  <si>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</si>
  <si>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</si>
  <si>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</si>
  <si>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</si>
  <si>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</si>
  <si>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</si>
  <si>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</si>
  <si>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</si>
  <si>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</si>
  <si>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</si>
  <si>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</si>
  <si>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</si>
  <si>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</si>
  <si>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</si>
  <si>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</si>
  <si>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</si>
  <si>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</si>
  <si>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</si>
  <si>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</si>
  <si>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</si>
  <si>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</si>
  <si>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</si>
  <si>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</si>
  <si>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</si>
  <si>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</si>
  <si>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</si>
  <si>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</si>
  <si>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</si>
  <si>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</si>
  <si>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</si>
  <si>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</si>
  <si>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</si>
  <si>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</si>
  <si>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</si>
  <si>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</si>
  <si>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</si>
  <si>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</si>
  <si>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</si>
  <si>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</si>
  <si>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</si>
  <si>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</si>
  <si>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</si>
  <si>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</si>
  <si>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</si>
  <si>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</si>
  <si>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</si>
  <si>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</si>
  <si>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</si>
  <si>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</si>
  <si>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</si>
  <si>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</si>
  <si>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</si>
  <si>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</si>
  <si>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</si>
  <si>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</si>
  <si>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</si>
  <si>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</si>
  <si>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</si>
  <si>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</si>
  <si>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</si>
  <si>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</si>
  <si>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</si>
  <si>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</si>
  <si>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</si>
  <si>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</si>
  <si>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</si>
  <si>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</si>
  <si>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</si>
  <si>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</si>
  <si>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</si>
  <si>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</si>
  <si>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</si>
  <si>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</si>
  <si>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</si>
  <si>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</si>
  <si>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</si>
  <si>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</si>
  <si>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</si>
  <si>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</si>
  <si>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</si>
  <si>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</si>
  <si>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</si>
  <si>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</si>
  <si>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</si>
  <si>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</si>
  <si>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</si>
  <si>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</si>
  <si>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</si>
  <si>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</si>
  <si>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</si>
  <si>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</si>
  <si>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</si>
  <si>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</si>
  <si>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</si>
  <si>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</si>
  <si>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</si>
  <si>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</si>
  <si>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</si>
  <si>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</si>
  <si>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</si>
  <si>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</si>
  <si>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</si>
  <si>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</si>
  <si>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</si>
  <si>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</si>
  <si>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</si>
  <si>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</si>
  <si>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</si>
  <si>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</si>
  <si>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</si>
  <si>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</si>
  <si>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</si>
  <si>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</si>
  <si>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</si>
  <si>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</si>
  <si>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</si>
  <si>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</si>
  <si>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</si>
  <si>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</si>
  <si>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</si>
  <si>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</si>
  <si>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</si>
  <si>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</si>
  <si>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</si>
  <si>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</si>
  <si>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</si>
  <si>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</si>
  <si>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</si>
  <si>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</si>
  <si>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</si>
  <si>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</si>
  <si>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</si>
  <si>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</si>
  <si>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</si>
  <si>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</si>
  <si>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</si>
  <si>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</si>
  <si>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</si>
  <si>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</si>
  <si>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</si>
  <si>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</si>
  <si>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</si>
  <si>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</si>
  <si>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</si>
  <si>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</si>
  <si>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</si>
  <si>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</si>
  <si>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</si>
  <si>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</si>
  <si>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</si>
  <si>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</si>
  <si>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</si>
  <si>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</si>
  <si>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</si>
  <si>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</si>
  <si>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</si>
  <si>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</si>
  <si>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</si>
  <si>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</si>
  <si>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</si>
  <si>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</si>
  <si>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</si>
  <si>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</si>
  <si>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</si>
  <si>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</si>
  <si>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</si>
  <si>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</si>
  <si>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</si>
  <si>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</si>
  <si>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</si>
  <si>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</si>
  <si>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</si>
  <si>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</si>
  <si>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</si>
  <si>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</si>
  <si>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</si>
  <si>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</si>
  <si>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</si>
  <si>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</si>
  <si>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</si>
  <si>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</si>
  <si>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</si>
  <si>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</si>
  <si>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</si>
  <si>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</si>
  <si>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</si>
  <si>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</si>
  <si>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</si>
  <si>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</si>
  <si>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</si>
  <si>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</si>
  <si>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</si>
  <si>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</si>
  <si>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</si>
  <si>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</si>
  <si>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</si>
  <si>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</si>
  <si>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</si>
  <si>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</si>
  <si>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</si>
  <si>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</si>
  <si>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</si>
  <si>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</si>
  <si>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</si>
  <si>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</si>
  <si>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</si>
  <si>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</si>
  <si>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</si>
  <si>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</si>
  <si>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</si>
  <si>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</si>
  <si>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</si>
  <si>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</si>
  <si>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</si>
  <si>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</si>
  <si>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</si>
  <si>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</si>
  <si>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</si>
  <si>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</si>
  <si>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</si>
  <si>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</si>
  <si>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</si>
  <si>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</si>
  <si>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</si>
  <si>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</si>
  <si>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</si>
  <si>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</si>
  <si>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</si>
  <si>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</si>
  <si>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</si>
  <si>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</si>
  <si>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</si>
  <si>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</si>
  <si>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</si>
  <si>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</si>
  <si>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</si>
  <si>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</si>
  <si>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</si>
  <si>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</si>
  <si>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</si>
  <si>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</si>
  <si>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</si>
  <si>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</si>
  <si>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</si>
  <si>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</si>
  <si>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</si>
  <si>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</si>
  <si>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</si>
  <si>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</si>
  <si>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</si>
  <si>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</si>
  <si>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</si>
  <si>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</si>
  <si>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</si>
  <si>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</si>
  <si>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</si>
  <si>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</si>
  <si>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</si>
  <si>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</si>
  <si>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</si>
  <si>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</si>
  <si>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</si>
  <si>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</si>
  <si>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</si>
  <si>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</si>
  <si>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</si>
  <si>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</si>
  <si>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</si>
  <si>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</si>
  <si>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</si>
  <si>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</si>
  <si>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</si>
  <si>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</si>
  <si>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</si>
  <si>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</si>
  <si>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</si>
  <si>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</si>
  <si>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</si>
  <si>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</si>
  <si>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</si>
  <si>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</si>
  <si>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</si>
  <si>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</si>
  <si>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</si>
  <si>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</si>
  <si>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</si>
  <si>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</si>
  <si>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</si>
  <si>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</si>
  <si>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</si>
  <si>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</si>
  <si>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</si>
  <si>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</si>
  <si>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</si>
  <si>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</si>
  <si>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</si>
  <si>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</si>
  <si>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</si>
  <si>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</si>
  <si>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</si>
  <si>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</si>
  <si>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</si>
  <si>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</si>
  <si>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</si>
  <si>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</si>
  <si>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</si>
  <si>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</si>
  <si>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</si>
  <si>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</si>
  <si>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</si>
  <si>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</si>
  <si>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</si>
  <si>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</si>
  <si>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</si>
  <si>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</si>
  <si>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</si>
  <si>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</si>
  <si>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</si>
  <si>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</si>
  <si>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</si>
  <si>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</si>
  <si>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</si>
  <si>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</si>
  <si>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</si>
  <si>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</si>
  <si>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</si>
  <si>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</si>
  <si>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</si>
  <si>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</si>
  <si>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</si>
  <si>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</si>
  <si>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</si>
  <si>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</si>
  <si>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</si>
  <si>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</si>
  <si>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</si>
  <si>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</si>
  <si>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</si>
  <si>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</si>
  <si>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</si>
  <si>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</si>
  <si>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</si>
  <si>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</si>
  <si>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</si>
  <si>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</si>
  <si>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</si>
  <si>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</si>
  <si>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</si>
  <si>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</si>
  <si>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</si>
  <si>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</si>
  <si>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</si>
  <si>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</si>
  <si>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</si>
  <si>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</si>
  <si>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</si>
  <si>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</si>
  <si>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</si>
  <si>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</si>
  <si>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</si>
  <si>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</si>
  <si>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</si>
  <si>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</si>
  <si>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</si>
  <si>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</si>
  <si>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</si>
  <si>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</si>
  <si>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</si>
  <si>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</si>
  <si>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</si>
  <si>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</si>
  <si>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</si>
  <si>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</si>
  <si>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</si>
  <si>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</si>
  <si>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</si>
  <si>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</si>
  <si>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</si>
  <si>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</si>
  <si>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</si>
  <si>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</si>
  <si>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</si>
  <si>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</si>
  <si>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</si>
  <si>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</si>
  <si>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</si>
  <si>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</si>
  <si>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</si>
  <si>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</si>
  <si>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</si>
  <si>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</si>
  <si>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</si>
  <si>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</si>
  <si>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</si>
  <si>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</si>
  <si>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</si>
  <si>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</si>
  <si>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</si>
  <si>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</si>
  <si>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</si>
  <si>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</si>
  <si>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</si>
  <si>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</si>
  <si>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</si>
  <si>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</si>
  <si>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</si>
  <si>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</si>
  <si>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</si>
  <si>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</si>
  <si>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</si>
  <si>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</si>
  <si>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</si>
  <si>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</si>
  <si>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</si>
  <si>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</si>
  <si>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</si>
  <si>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</si>
  <si>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</si>
  <si>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</si>
  <si>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</si>
  <si>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</si>
  <si>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</si>
  <si>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</si>
  <si>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</si>
  <si>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</si>
  <si>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</si>
  <si>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</si>
  <si>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</si>
  <si>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</si>
  <si>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</si>
  <si>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</si>
  <si>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</si>
  <si>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</si>
  <si>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</si>
  <si>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</si>
  <si>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</si>
  <si>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</si>
  <si>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</si>
  <si>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</si>
  <si>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</si>
  <si>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</si>
  <si>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</si>
  <si>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</si>
  <si>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</si>
  <si>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</si>
  <si>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</si>
  <si>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</si>
  <si>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</si>
  <si>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</si>
  <si>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</si>
  <si>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</si>
  <si>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</si>
  <si>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</si>
  <si>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</si>
  <si>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</si>
  <si>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</si>
  <si>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</si>
  <si>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</si>
  <si>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</si>
  <si>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</si>
  <si>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</si>
  <si>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</si>
  <si>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</si>
  <si>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</si>
  <si>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</si>
  <si>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</si>
  <si>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</si>
  <si>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</si>
  <si>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</si>
  <si>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</si>
  <si>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</si>
  <si>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</si>
  <si>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</si>
  <si>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</si>
  <si>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</si>
  <si>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</si>
  <si>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</si>
  <si>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</si>
  <si>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</si>
  <si>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</si>
  <si>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</si>
  <si>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</si>
  <si>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</si>
  <si>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</si>
  <si>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</si>
  <si>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</si>
  <si>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</si>
  <si>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</si>
  <si>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</si>
  <si>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</si>
  <si>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</si>
  <si>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</si>
  <si>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</si>
  <si>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</si>
  <si>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</si>
  <si>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</si>
  <si>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</si>
  <si>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</si>
  <si>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</si>
  <si>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</si>
  <si>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</si>
  <si>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</si>
  <si>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</si>
  <si>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</si>
  <si>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</si>
  <si>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</si>
  <si>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</si>
  <si>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</si>
  <si>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</si>
  <si>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</si>
  <si>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</si>
  <si>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</si>
  <si>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</si>
  <si>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</si>
  <si>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</si>
  <si>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</si>
  <si>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</si>
  <si>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</si>
  <si>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</si>
  <si>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</si>
  <si>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</si>
  <si>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</si>
  <si>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</si>
  <si>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</si>
  <si>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</si>
  <si>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</si>
  <si>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</si>
  <si>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</si>
  <si>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</si>
  <si>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</si>
  <si>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</si>
  <si>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</si>
  <si>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</si>
  <si>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</si>
  <si>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</si>
  <si>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</si>
  <si>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</si>
  <si>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</si>
  <si>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</si>
  <si>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</si>
  <si>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</si>
  <si>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</si>
  <si>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</si>
  <si>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</si>
  <si>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</si>
  <si>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</si>
  <si>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</si>
  <si>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</si>
  <si>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</si>
  <si>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</si>
  <si>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</si>
  <si>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</si>
  <si>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</si>
  <si>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</si>
  <si>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</si>
  <si>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</si>
  <si>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</si>
  <si>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</si>
  <si>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</si>
  <si>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</si>
  <si>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</si>
  <si>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</si>
  <si>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</si>
  <si>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</si>
  <si>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</si>
  <si>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</si>
  <si>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</si>
  <si>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</si>
  <si>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</si>
  <si>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</si>
  <si>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</si>
  <si>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</si>
  <si>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</si>
  <si>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</si>
  <si>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</si>
  <si>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</si>
  <si>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</si>
  <si>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</si>
  <si>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</si>
  <si>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</si>
  <si>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</si>
  <si>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</si>
  <si>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</si>
  <si>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</si>
  <si>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</si>
  <si>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</si>
  <si>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</si>
  <si>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</si>
  <si>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</si>
  <si>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</si>
  <si>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</si>
  <si>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</si>
  <si>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</si>
  <si>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</si>
  <si>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</si>
  <si>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</si>
  <si>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</si>
  <si>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</si>
  <si>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</si>
  <si>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</si>
  <si>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</si>
  <si>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</si>
  <si>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</si>
  <si>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</si>
  <si>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</si>
  <si>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</si>
  <si>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</si>
  <si>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</si>
  <si>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</si>
  <si>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</si>
  <si>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</si>
  <si>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</si>
  <si>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</si>
  <si>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</si>
  <si>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</si>
  <si>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</si>
  <si>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</si>
  <si>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</si>
  <si>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</si>
  <si>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</si>
  <si>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</si>
  <si>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</si>
  <si>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</si>
  <si>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</si>
  <si>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</si>
  <si>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</si>
  <si>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</si>
  <si>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</si>
  <si>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</si>
  <si>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</si>
  <si>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</si>
  <si>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</si>
  <si>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</si>
  <si>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</si>
  <si>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</si>
  <si>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</si>
  <si>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</si>
  <si>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</si>
  <si>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</si>
  <si>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</si>
  <si>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</si>
  <si>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</si>
  <si>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</si>
  <si>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</si>
  <si>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</si>
  <si>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</si>
  <si>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</si>
  <si>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</si>
  <si>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</si>
  <si>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</si>
  <si>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</si>
  <si>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</si>
  <si>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</si>
  <si>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</si>
  <si>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</si>
  <si>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</si>
  <si>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</si>
  <si>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</si>
  <si>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</si>
  <si>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</si>
  <si>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</si>
  <si>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</si>
  <si>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</si>
  <si>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</si>
  <si>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</si>
  <si>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</si>
  <si>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</si>
  <si>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</si>
  <si>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</si>
  <si>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</si>
  <si>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</si>
  <si>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</si>
  <si>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</si>
  <si>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</si>
  <si>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</si>
  <si>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</si>
  <si>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</si>
  <si>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</si>
  <si>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</si>
  <si>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</si>
  <si>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</si>
  <si>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</si>
  <si>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</si>
  <si>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</si>
  <si>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</si>
  <si>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</si>
  <si>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</si>
  <si>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</si>
  <si>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</si>
  <si>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</si>
  <si>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</si>
  <si>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</si>
  <si>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</si>
  <si>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</si>
  <si>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</si>
  <si>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</si>
  <si>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</si>
  <si>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</si>
  <si>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</si>
  <si>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</si>
  <si>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</si>
  <si>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</si>
  <si>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</si>
  <si>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</si>
  <si>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</si>
  <si>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</si>
  <si>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</si>
  <si>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</si>
  <si>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</si>
  <si>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</si>
  <si>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</si>
  <si>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</si>
  <si>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</si>
  <si>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</si>
  <si>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</si>
  <si>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</si>
  <si>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</si>
  <si>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</si>
  <si>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</si>
  <si>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</si>
  <si>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</si>
  <si>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</si>
  <si>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</si>
  <si>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</si>
  <si>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</si>
  <si>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</si>
  <si>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</si>
  <si>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</si>
  <si>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</si>
  <si>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</si>
  <si>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</si>
  <si>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</si>
  <si>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</si>
  <si>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</si>
  <si>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</si>
  <si>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</si>
  <si>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</si>
  <si>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</si>
  <si>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</si>
  <si>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</si>
  <si>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</si>
  <si>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</si>
  <si>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</si>
  <si>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</si>
  <si>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</si>
  <si>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</si>
  <si>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</si>
  <si>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</si>
  <si>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</si>
  <si>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</si>
  <si>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</si>
  <si>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</si>
  <si>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</si>
  <si>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</si>
  <si>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</si>
  <si>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</si>
  <si>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</si>
  <si>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</si>
  <si>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</si>
  <si>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</si>
  <si>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</si>
  <si>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</si>
  <si>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</si>
  <si>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</si>
  <si>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</si>
  <si>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</si>
  <si>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</si>
  <si>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</si>
  <si>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</si>
  <si>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</si>
  <si>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</si>
  <si>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</si>
  <si>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</si>
  <si>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</si>
  <si>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</si>
  <si>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</si>
  <si>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</si>
  <si>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</si>
  <si>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</si>
  <si>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</si>
  <si>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</si>
  <si>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</si>
  <si>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</si>
  <si>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</si>
  <si>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</si>
  <si>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</si>
  <si>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</si>
  <si>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</si>
  <si>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</si>
  <si>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</si>
  <si>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</si>
  <si>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</si>
  <si>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</si>
  <si>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</si>
  <si>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</si>
  <si>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</si>
  <si>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</si>
  <si>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</si>
  <si>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</si>
  <si>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</si>
  <si>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</si>
  <si>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</si>
  <si>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</si>
  <si>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</si>
  <si>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</si>
  <si>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</si>
  <si>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</si>
  <si>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</si>
  <si>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</si>
  <si>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</si>
  <si>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</si>
  <si>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</si>
  <si>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</si>
  <si>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</si>
  <si>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</si>
  <si>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</si>
  <si>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</si>
  <si>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</si>
  <si>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</si>
  <si>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</si>
  <si>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</si>
  <si>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</si>
  <si>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</si>
  <si>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</si>
  <si>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</si>
  <si>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</si>
  <si>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</si>
  <si>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</si>
  <si>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</si>
  <si>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</si>
  <si>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</si>
  <si>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</si>
  <si>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</si>
  <si>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</si>
  <si>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</si>
  <si>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</si>
  <si>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</si>
  <si>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</si>
  <si>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</si>
  <si>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</si>
  <si>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</si>
  <si>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</si>
  <si>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</si>
  <si>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</si>
  <si>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</si>
  <si>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</si>
  <si>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</si>
  <si>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</si>
  <si>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</si>
  <si>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</si>
  <si>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</si>
  <si>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</si>
  <si>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</si>
  <si>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</si>
  <si>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</si>
  <si>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</si>
  <si>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</si>
  <si>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</si>
  <si>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</si>
  <si>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</si>
  <si>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</si>
  <si>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</si>
  <si>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</si>
  <si>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</si>
  <si>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</si>
  <si>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</si>
  <si>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</si>
  <si>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</si>
  <si>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</si>
  <si>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</si>
  <si>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</si>
  <si>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</si>
  <si>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</si>
  <si>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</si>
  <si>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</si>
  <si>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</si>
  <si>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</si>
  <si>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</si>
  <si>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</si>
  <si>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</si>
  <si>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</si>
  <si>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</si>
  <si>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</si>
  <si>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</si>
  <si>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</si>
  <si>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</si>
  <si>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</si>
  <si>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</si>
  <si>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</si>
  <si>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</si>
  <si>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</si>
  <si>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</si>
  <si>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</si>
  <si>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</si>
  <si>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</si>
  <si>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</si>
  <si>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</si>
  <si>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</si>
  <si>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</si>
  <si>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</si>
  <si>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</si>
  <si>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</si>
  <si>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</si>
  <si>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</si>
  <si>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</si>
  <si>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</si>
  <si>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</si>
  <si>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</si>
  <si>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</si>
  <si>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</si>
  <si>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</si>
  <si>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</si>
  <si>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</si>
  <si>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</si>
  <si>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</si>
  <si>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</si>
  <si>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</si>
  <si>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</si>
  <si>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</si>
  <si>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</si>
  <si>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</si>
  <si>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</si>
  <si>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</si>
  <si>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</si>
  <si>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</si>
  <si>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</si>
  <si>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</si>
  <si>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</si>
  <si>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</si>
  <si>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</si>
  <si>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</si>
  <si>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</si>
  <si>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</si>
  <si>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</si>
  <si>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</si>
  <si>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</si>
  <si>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</si>
  <si>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</si>
  <si>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</si>
  <si>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</si>
  <si>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</si>
  <si>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</si>
  <si>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</si>
  <si>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</si>
  <si>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</si>
  <si>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</si>
  <si>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</si>
  <si>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</si>
  <si>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</si>
  <si>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</si>
  <si>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</si>
  <si>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</si>
  <si>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</si>
  <si>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</si>
  <si>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</si>
  <si>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</si>
  <si>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</si>
  <si>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</si>
  <si>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</si>
  <si>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</si>
  <si>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</si>
  <si>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</si>
  <si>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</si>
  <si>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</si>
  <si>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</si>
  <si>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</si>
  <si>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</si>
  <si>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</si>
  <si>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</si>
  <si>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</si>
  <si>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</si>
  <si>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</si>
  <si>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</si>
  <si>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</si>
  <si>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</si>
  <si>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</si>
  <si>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</si>
  <si>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</si>
  <si>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</si>
  <si>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</si>
  <si>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</si>
  <si>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</si>
  <si>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</si>
  <si>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</si>
  <si>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</si>
  <si>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</si>
  <si>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</si>
  <si>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</si>
  <si>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</si>
  <si>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</si>
  <si>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</si>
  <si>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</si>
  <si>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</si>
  <si>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</si>
  <si>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</si>
  <si>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</si>
  <si>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</si>
  <si>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</si>
  <si>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</si>
  <si>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</si>
  <si>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</si>
  <si>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</si>
  <si>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</si>
  <si>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</si>
  <si>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</si>
  <si>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</si>
  <si>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</si>
  <si>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</si>
  <si>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</si>
  <si>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</si>
  <si>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</si>
  <si>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</si>
  <si>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</si>
  <si>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</si>
  <si>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</si>
  <si>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</si>
  <si>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</si>
  <si>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</si>
  <si>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</si>
  <si>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</si>
  <si>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</si>
  <si>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</si>
  <si>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</si>
  <si>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</si>
  <si>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</si>
  <si>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</si>
  <si>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</si>
  <si>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</si>
  <si>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</si>
  <si>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</si>
  <si>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</si>
  <si>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</si>
  <si>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</si>
  <si>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</si>
  <si>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</si>
  <si>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</si>
  <si>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</si>
  <si>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</si>
  <si>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</si>
  <si>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</si>
  <si>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</si>
  <si>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</si>
  <si>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</si>
  <si>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</si>
  <si>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</si>
  <si>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</si>
  <si>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</si>
  <si>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</si>
  <si>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</si>
  <si>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</si>
  <si>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</si>
  <si>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</si>
  <si>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</si>
  <si>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</si>
  <si>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</si>
  <si>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</si>
  <si>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</si>
  <si>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</si>
  <si>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</si>
  <si>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</si>
  <si>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</si>
  <si>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</si>
  <si>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</si>
  <si>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</si>
  <si>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</si>
  <si>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</si>
  <si>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</si>
  <si>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</si>
  <si>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</si>
  <si>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</si>
  <si>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</si>
  <si>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</si>
  <si>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</si>
  <si>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</si>
  <si>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</si>
  <si>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</si>
  <si>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</si>
  <si>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</si>
  <si>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</si>
  <si>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</si>
  <si>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</si>
  <si>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</si>
  <si>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</si>
  <si>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</si>
  <si>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</si>
  <si>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</si>
  <si>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</si>
  <si>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</si>
  <si>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</si>
  <si>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</si>
  <si>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</si>
  <si>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</si>
  <si>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</si>
  <si>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</si>
  <si>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</si>
  <si>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</si>
  <si>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</si>
  <si>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</si>
  <si>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</si>
  <si>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</si>
  <si>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</si>
  <si>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</si>
  <si>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</si>
  <si>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</si>
  <si>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</si>
  <si>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</si>
  <si>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</si>
  <si>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</si>
  <si>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</si>
  <si>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</si>
  <si>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</si>
  <si>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</si>
  <si>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</si>
  <si>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</si>
  <si>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</si>
  <si>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</si>
  <si>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</si>
  <si>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</si>
  <si>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</si>
  <si>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</si>
  <si>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</si>
  <si>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</si>
  <si>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</si>
  <si>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</si>
  <si>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</si>
  <si>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</si>
  <si>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</si>
  <si>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</si>
  <si>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</si>
  <si>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</si>
  <si>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</si>
  <si>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</si>
  <si>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</si>
  <si>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</si>
  <si>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</si>
  <si>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</si>
  <si>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</si>
  <si>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</si>
  <si>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</si>
  <si>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</si>
  <si>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</si>
  <si>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</si>
  <si>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</si>
  <si>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</si>
  <si>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</si>
  <si>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</si>
  <si>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</si>
  <si>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</si>
  <si>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</si>
  <si>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</si>
  <si>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</si>
  <si>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</si>
  <si>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</si>
  <si>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</si>
  <si>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</si>
  <si>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</si>
  <si>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</si>
  <si>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</si>
  <si>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</si>
  <si>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</si>
  <si>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</si>
  <si>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</si>
  <si>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</si>
  <si>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</si>
  <si>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</si>
  <si>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</si>
  <si>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</si>
  <si>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</si>
  <si>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</si>
  <si>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</si>
  <si>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</si>
  <si>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</si>
  <si>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</si>
  <si>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</si>
  <si>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</si>
  <si>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</si>
  <si>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</si>
  <si>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</si>
  <si>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</si>
  <si>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</si>
  <si>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</si>
  <si>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</si>
  <si>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</si>
  <si>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</si>
  <si>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</si>
  <si>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</si>
  <si>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</si>
  <si>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</si>
  <si>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</si>
  <si>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</si>
  <si>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</si>
  <si>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</si>
  <si>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</si>
  <si>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</si>
  <si>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</si>
  <si>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</si>
  <si>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</si>
  <si>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</si>
  <si>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</si>
  <si>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</si>
  <si>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</si>
  <si>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</si>
  <si>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</si>
  <si>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</si>
  <si>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</si>
  <si>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</si>
  <si>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</si>
  <si>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</si>
  <si>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</si>
  <si>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</si>
  <si>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</si>
  <si>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</si>
  <si>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</si>
  <si>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</si>
  <si>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</si>
  <si>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</si>
  <si>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</si>
  <si>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</si>
  <si>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</si>
  <si>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</si>
  <si>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</si>
  <si>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</si>
  <si>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</si>
  <si>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</si>
  <si>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</si>
  <si>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</si>
  <si>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</si>
  <si>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</si>
  <si>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</si>
  <si>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</si>
  <si>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</si>
  <si>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</si>
  <si>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</si>
  <si>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</si>
  <si>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</si>
  <si>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</si>
  <si>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</si>
  <si>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</si>
  <si>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</si>
  <si>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</si>
  <si>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</si>
  <si>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</si>
  <si>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</si>
  <si>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</si>
  <si>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</si>
  <si>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</si>
  <si>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</si>
  <si>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</si>
  <si>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</si>
  <si>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</si>
  <si>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</si>
  <si>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</si>
  <si>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</si>
  <si>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</si>
  <si>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</si>
  <si>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</si>
  <si>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</si>
  <si>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</si>
  <si>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</si>
  <si>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</si>
  <si>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</si>
  <si>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</si>
  <si>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</si>
  <si>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</si>
  <si>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</si>
  <si>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</si>
  <si>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</si>
  <si>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</si>
  <si>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</si>
  <si>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</si>
  <si>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</si>
  <si>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</si>
  <si>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</si>
  <si>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</si>
  <si>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</si>
  <si>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</si>
  <si>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</si>
  <si>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</si>
  <si>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</si>
  <si>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</si>
  <si>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</si>
  <si>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</si>
  <si>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</si>
  <si>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</si>
  <si>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</si>
  <si>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</si>
  <si>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</si>
  <si>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</si>
  <si>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</si>
  <si>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</si>
  <si>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</si>
  <si>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</si>
  <si>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</si>
  <si>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</si>
  <si>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</si>
  <si>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</si>
  <si>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</si>
  <si>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</si>
  <si>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</si>
  <si>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</si>
  <si>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</si>
  <si>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</si>
  <si>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</si>
  <si>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</si>
  <si>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</si>
  <si>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</si>
  <si>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</si>
  <si>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</si>
  <si>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</si>
  <si>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</si>
  <si>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</si>
  <si>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</si>
  <si>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</si>
  <si>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</si>
  <si>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</si>
  <si>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</si>
  <si>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</si>
  <si>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</si>
  <si>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</si>
  <si>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</si>
  <si>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</si>
  <si>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</si>
  <si>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</si>
  <si>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</si>
  <si>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</si>
  <si>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</si>
  <si>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</si>
  <si>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</si>
  <si>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</si>
  <si>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</si>
  <si>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</si>
  <si>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</si>
  <si>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</si>
  <si>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</si>
  <si>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</si>
  <si>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</si>
  <si>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</si>
  <si>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</si>
  <si>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</si>
  <si>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</si>
  <si>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</si>
  <si>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</si>
  <si>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</si>
  <si>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</si>
  <si>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</si>
  <si>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</si>
  <si>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</si>
  <si>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</si>
  <si>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</si>
  <si>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</si>
  <si>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</si>
  <si>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</si>
  <si>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</si>
  <si>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</si>
  <si>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</si>
  <si>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</si>
  <si>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</si>
  <si>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</si>
  <si>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</si>
  <si>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</si>
  <si>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</si>
  <si>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</si>
  <si>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</si>
  <si>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</si>
  <si>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</si>
  <si>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</si>
  <si>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</si>
  <si>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</si>
  <si>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</si>
  <si>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</si>
  <si>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</si>
  <si>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</si>
  <si>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</si>
  <si>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</si>
  <si>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</si>
  <si>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</si>
  <si>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</si>
  <si>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</si>
  <si>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</si>
  <si>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</si>
  <si>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</si>
  <si>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</si>
  <si>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</si>
  <si>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</si>
  <si>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</si>
  <si>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</si>
  <si>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</si>
  <si>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</si>
  <si>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</si>
  <si>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</si>
  <si>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</si>
  <si>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</si>
  <si>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</si>
  <si>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</si>
  <si>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</si>
  <si>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</si>
  <si>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</si>
  <si>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</si>
  <si>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</si>
  <si>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</si>
  <si>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</si>
  <si>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</si>
  <si>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</si>
  <si>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</si>
  <si>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</si>
  <si>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</si>
  <si>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</si>
  <si>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</si>
  <si>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</si>
  <si>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</si>
  <si>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</si>
  <si>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</si>
  <si>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</si>
  <si>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</si>
  <si>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</si>
  <si>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</si>
  <si>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</si>
  <si>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</si>
  <si>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</si>
  <si>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</si>
  <si>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</si>
  <si>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</si>
  <si>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</si>
  <si>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</si>
  <si>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</si>
  <si>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</si>
  <si>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</si>
  <si>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</si>
  <si>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</si>
  <si>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</si>
  <si>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</si>
  <si>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</si>
  <si>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</si>
  <si>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</si>
  <si>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</si>
  <si>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</si>
  <si>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</si>
  <si>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</si>
  <si>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</si>
  <si>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</si>
  <si>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</si>
  <si>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</si>
  <si>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</si>
  <si>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</si>
  <si>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</si>
  <si>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</si>
  <si>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</si>
  <si>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</si>
  <si>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</si>
  <si>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</si>
  <si>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</si>
  <si>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</si>
  <si>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</si>
  <si>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</si>
  <si>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</si>
  <si>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</si>
  <si>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</si>
  <si>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</si>
  <si>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</si>
  <si>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</si>
  <si>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</si>
  <si>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</si>
  <si>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</si>
  <si>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</si>
  <si>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</si>
  <si>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</si>
  <si>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</si>
  <si>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</si>
  <si>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</si>
  <si>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</si>
  <si>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</si>
  <si>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</si>
  <si>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</si>
  <si>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</si>
  <si>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</si>
  <si>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</si>
  <si>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</si>
  <si>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</si>
  <si>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</si>
  <si>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</si>
  <si>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</si>
  <si>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</si>
  <si>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</si>
  <si>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</si>
  <si>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</si>
  <si>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</si>
  <si>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</si>
  <si>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</si>
  <si>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</si>
  <si>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</si>
  <si>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</si>
  <si>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</si>
  <si>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</si>
  <si>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</si>
  <si>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</si>
  <si>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</si>
  <si>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</si>
  <si>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</si>
  <si>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</si>
  <si>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</si>
  <si>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</si>
  <si>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</si>
  <si>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</si>
  <si>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</si>
  <si>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</si>
  <si>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</si>
  <si>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</si>
  <si>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</si>
  <si>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</si>
  <si>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</si>
  <si>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</si>
  <si>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</si>
  <si>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</si>
  <si>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</si>
  <si>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</si>
  <si>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</si>
  <si>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</si>
  <si>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</si>
  <si>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</si>
  <si>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</si>
  <si>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</si>
  <si>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</si>
  <si>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</si>
  <si>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</si>
  <si>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</si>
  <si>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</si>
  <si>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</si>
  <si>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</si>
  <si>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</si>
  <si>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</si>
  <si>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</si>
  <si>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</si>
  <si>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</si>
  <si>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</si>
  <si>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</si>
  <si>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</si>
  <si>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</si>
  <si>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</si>
  <si>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</si>
  <si>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</si>
  <si>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</si>
  <si>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</si>
  <si>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</si>
  <si>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</si>
  <si>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</si>
  <si>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</si>
  <si>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</si>
  <si>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</si>
  <si>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</si>
  <si>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</si>
  <si>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</si>
  <si>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</si>
  <si>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</si>
  <si>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</si>
  <si>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</si>
  <si>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</si>
  <si>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</si>
  <si>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</si>
  <si>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</si>
  <si>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</si>
  <si>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</si>
  <si>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</si>
  <si>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</si>
  <si>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</si>
  <si>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</si>
  <si>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</si>
  <si>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</si>
  <si>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</si>
  <si>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</si>
  <si>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</si>
  <si>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</si>
  <si>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</si>
  <si>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</si>
  <si>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</si>
  <si>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</si>
  <si>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</si>
  <si>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</si>
  <si>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</si>
  <si>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</si>
  <si>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</si>
  <si>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</si>
  <si>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</si>
  <si>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</si>
  <si>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</si>
  <si>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</si>
  <si>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</si>
  <si>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</si>
  <si>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</si>
  <si>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</si>
  <si>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</si>
  <si>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</si>
  <si>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</si>
  <si>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</si>
  <si>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</si>
  <si>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</si>
  <si>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</si>
  <si>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</si>
  <si>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</si>
  <si>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</si>
  <si>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</si>
  <si>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</si>
  <si>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</si>
  <si>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</si>
  <si>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</si>
  <si>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</si>
  <si>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</si>
  <si>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</si>
  <si>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</si>
  <si>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</si>
  <si>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</si>
  <si>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</si>
  <si>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</si>
  <si>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</si>
  <si>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</si>
  <si>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</si>
  <si>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</si>
  <si>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</si>
  <si>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</si>
  <si>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</si>
  <si>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</si>
  <si>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</si>
  <si>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</si>
  <si>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</si>
  <si>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</si>
  <si>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</si>
  <si>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</si>
  <si>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</si>
  <si>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</si>
  <si>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</si>
  <si>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</si>
  <si>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</si>
  <si>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</si>
  <si>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</si>
  <si>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</si>
  <si>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</si>
  <si>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</si>
  <si>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</si>
  <si>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</si>
  <si>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</si>
  <si>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</si>
  <si>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</si>
  <si>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</si>
  <si>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</si>
  <si>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</si>
  <si>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</si>
  <si>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</si>
  <si>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</si>
  <si>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</si>
  <si>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</si>
  <si>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</si>
  <si>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</si>
  <si>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</si>
  <si>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</si>
  <si>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</si>
  <si>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</si>
  <si>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</si>
  <si>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</si>
  <si>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</si>
  <si>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</si>
  <si>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</si>
  <si>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</si>
  <si>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</si>
  <si>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</si>
  <si>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</si>
  <si>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</si>
  <si>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</si>
  <si>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</si>
  <si>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</si>
  <si>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</si>
  <si>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</si>
  <si>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</si>
  <si>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</si>
  <si>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</si>
  <si>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</si>
  <si>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</si>
  <si>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</si>
  <si>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</si>
  <si>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</si>
  <si>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</si>
  <si>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</si>
  <si>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</si>
  <si>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</si>
  <si>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</si>
  <si>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</si>
  <si>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</si>
  <si>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</si>
  <si>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</si>
  <si>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</si>
  <si>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</si>
  <si>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</si>
  <si>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</si>
  <si>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</si>
  <si>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</si>
  <si>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</si>
  <si>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</si>
  <si>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</si>
  <si>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</si>
  <si>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</si>
  <si>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</si>
  <si>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</si>
  <si>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</si>
  <si>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</si>
  <si>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</si>
  <si>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</si>
  <si>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</si>
  <si>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</si>
  <si>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</si>
  <si>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</si>
  <si>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</si>
  <si>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</si>
  <si>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</si>
  <si>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</si>
  <si>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</si>
  <si>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</si>
  <si>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</si>
  <si>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</si>
  <si>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</si>
  <si>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</si>
  <si>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</si>
  <si>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</si>
  <si>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</si>
  <si>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</si>
  <si>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</si>
  <si>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</si>
  <si>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</si>
  <si>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</si>
  <si>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</si>
  <si>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</si>
  <si>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</si>
  <si>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</si>
  <si>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</si>
  <si>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</si>
  <si>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</si>
  <si>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</si>
  <si>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</si>
  <si>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</si>
  <si>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</si>
  <si>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</si>
  <si>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</si>
  <si>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</si>
  <si>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</si>
  <si>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</si>
  <si>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</si>
  <si>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</si>
  <si>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</si>
  <si>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</si>
  <si>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</si>
  <si>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</si>
  <si>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</si>
  <si>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</si>
  <si>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</si>
  <si>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</si>
  <si>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</si>
  <si>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</si>
  <si>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</si>
  <si>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</si>
  <si>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</si>
  <si>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</si>
  <si>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</si>
  <si>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</si>
  <si>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</si>
  <si>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</si>
  <si>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</si>
  <si>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</si>
  <si>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</si>
  <si>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</si>
  <si>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</si>
  <si>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</si>
  <si>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</si>
  <si>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</si>
  <si>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</si>
  <si>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</si>
  <si>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</si>
  <si>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</si>
  <si>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</si>
  <si>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</si>
  <si>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</si>
  <si>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</si>
  <si>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</si>
  <si>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</si>
  <si>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</si>
  <si>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</si>
  <si>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</si>
  <si>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</si>
  <si>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</si>
  <si>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</si>
  <si>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</si>
  <si>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</si>
  <si>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</si>
  <si>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</si>
  <si>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</si>
  <si>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</si>
  <si>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</si>
  <si>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</si>
  <si>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</si>
  <si>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</si>
  <si>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</si>
  <si>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</si>
  <si>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</si>
  <si>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</si>
  <si>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</si>
  <si>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</si>
  <si>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</si>
  <si>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</si>
  <si>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</si>
  <si>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</si>
  <si>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</si>
  <si>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</si>
  <si>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</si>
  <si>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</si>
  <si>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</si>
  <si>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</si>
  <si>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</si>
  <si>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</si>
  <si>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</si>
  <si>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</si>
  <si>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</si>
  <si>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</si>
  <si>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</si>
  <si>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</si>
  <si>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</si>
  <si>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</si>
  <si>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</si>
  <si>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</si>
  <si>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</si>
  <si>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</si>
  <si>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</si>
  <si>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</si>
  <si>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</si>
  <si>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</si>
  <si>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</si>
  <si>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</si>
  <si>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</si>
  <si>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</si>
  <si>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</si>
  <si>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</si>
  <si>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</si>
  <si>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</si>
  <si>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</si>
  <si>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</si>
  <si>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</si>
  <si>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</si>
  <si>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</si>
  <si>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</si>
  <si>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</si>
  <si>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</si>
  <si>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</si>
  <si>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</si>
  <si>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</si>
  <si>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</si>
  <si>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</si>
  <si>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</si>
  <si>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</si>
  <si>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</si>
  <si>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</si>
  <si>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</si>
  <si>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</si>
  <si>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</si>
  <si>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</si>
  <si>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</si>
  <si>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</si>
  <si>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</si>
  <si>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</si>
  <si>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</si>
  <si>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</si>
  <si>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</si>
  <si>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</si>
  <si>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</si>
  <si>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</si>
  <si>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</si>
  <si>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</si>
  <si>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</si>
  <si>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</si>
  <si>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</si>
  <si>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</si>
  <si>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</si>
  <si>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</si>
  <si>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</si>
  <si>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</si>
  <si>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</si>
  <si>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</si>
  <si>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</si>
  <si>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</si>
  <si>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</si>
  <si>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</si>
  <si>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</si>
  <si>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</si>
  <si>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</si>
  <si>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</si>
  <si>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</si>
  <si>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</si>
  <si>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</si>
  <si>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</si>
  <si>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</si>
  <si>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</si>
  <si>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</si>
  <si>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</si>
  <si>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</si>
  <si>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</si>
  <si>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</si>
  <si>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</si>
  <si>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</si>
  <si>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</si>
  <si>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</si>
  <si>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</si>
  <si>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</si>
  <si>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</si>
  <si>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</si>
  <si>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</si>
  <si>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</si>
  <si>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</si>
  <si>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</si>
  <si>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</si>
  <si>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</si>
  <si>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</si>
  <si>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</si>
  <si>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</si>
  <si>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</si>
  <si>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</si>
  <si>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</si>
  <si>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</si>
  <si>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</si>
  <si>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</si>
  <si>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</si>
  <si>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</si>
  <si>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</si>
  <si>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</si>
  <si>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</si>
  <si>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</si>
  <si>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</si>
  <si>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</si>
  <si>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</si>
  <si>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</si>
  <si>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</si>
  <si>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</si>
  <si>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</si>
  <si>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</si>
  <si>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</si>
  <si>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</si>
  <si>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</si>
  <si>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</si>
  <si>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</si>
  <si>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</si>
  <si>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</si>
  <si>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</si>
  <si>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</si>
  <si>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</si>
  <si>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</si>
  <si>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</si>
  <si>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</si>
  <si>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</si>
  <si>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</si>
  <si>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</si>
  <si>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</si>
  <si>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</si>
  <si>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</si>
  <si>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</si>
  <si>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</si>
  <si>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</si>
  <si>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</si>
  <si>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</si>
  <si>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</si>
  <si>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</si>
  <si>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</si>
  <si>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</si>
  <si>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</si>
  <si>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</si>
  <si>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</si>
  <si>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</si>
  <si>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</si>
  <si>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</si>
  <si>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</si>
  <si>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</si>
  <si>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</si>
  <si>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</si>
  <si>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</si>
  <si>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</si>
  <si>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</si>
  <si>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</si>
  <si>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</si>
  <si>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</si>
  <si>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</si>
  <si>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</si>
  <si>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</si>
  <si>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</si>
  <si>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</si>
  <si>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</si>
  <si>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</si>
  <si>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</si>
  <si>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</si>
  <si>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</si>
  <si>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</si>
  <si>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</si>
  <si>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</si>
  <si>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</si>
  <si>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</si>
  <si>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</si>
  <si>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</si>
  <si>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</si>
  <si>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</si>
  <si>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</si>
  <si>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</si>
  <si>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</si>
  <si>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</si>
  <si>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</si>
  <si>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</si>
  <si>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</si>
  <si>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</si>
  <si>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</si>
  <si>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</si>
  <si>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</si>
  <si>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</si>
  <si>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</si>
  <si>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</si>
  <si>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</si>
  <si>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</si>
  <si>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</si>
  <si>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</si>
  <si>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</si>
  <si>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</si>
  <si>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</si>
  <si>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</si>
  <si>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</si>
  <si>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</si>
  <si>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</si>
  <si>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</si>
  <si>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</si>
  <si>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</si>
  <si>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</si>
  <si>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</si>
  <si>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</si>
  <si>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</si>
  <si>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</si>
  <si>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</si>
  <si>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</si>
  <si>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</si>
  <si>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</si>
  <si>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</si>
  <si>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</si>
  <si>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</si>
  <si>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</si>
  <si>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</si>
  <si>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</si>
  <si>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</si>
  <si>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</si>
  <si>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</si>
  <si>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</si>
  <si>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</si>
  <si>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</si>
  <si>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</si>
  <si>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</si>
  <si>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</si>
  <si>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</si>
  <si>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</si>
  <si>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</si>
  <si>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</si>
  <si>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</si>
  <si>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</si>
  <si>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</si>
  <si>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</si>
  <si>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</si>
  <si>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</si>
  <si>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</si>
  <si>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</si>
  <si>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</si>
  <si>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</si>
  <si>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</si>
  <si>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</si>
  <si>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</si>
  <si>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</si>
  <si>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</si>
  <si>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</si>
  <si>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</si>
  <si>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</si>
  <si>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</si>
  <si>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</si>
  <si>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</si>
  <si>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</si>
  <si>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</si>
  <si>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</si>
  <si>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</si>
  <si>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</si>
  <si>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</si>
  <si>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</si>
  <si>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</si>
  <si>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</si>
  <si>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</si>
  <si>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</si>
  <si>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</si>
  <si>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</si>
  <si>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</si>
  <si>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</si>
  <si>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</si>
  <si>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</si>
  <si>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</si>
  <si>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</si>
  <si>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</si>
  <si>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</si>
  <si>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</si>
  <si>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</si>
  <si>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</si>
  <si>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</si>
  <si>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</si>
  <si>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</si>
  <si>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</si>
  <si>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</si>
  <si>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</si>
  <si>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</si>
  <si>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</si>
  <si>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</si>
  <si>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</si>
  <si>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</si>
  <si>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</si>
  <si>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</si>
  <si>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</si>
  <si>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</si>
  <si>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</si>
  <si>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</si>
  <si>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</si>
  <si>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</si>
  <si>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</si>
  <si>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</si>
  <si>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</si>
  <si>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</si>
  <si>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</si>
  <si>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</si>
  <si>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</si>
  <si>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</si>
  <si>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</si>
  <si>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</si>
  <si>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</si>
  <si>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</si>
  <si>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</si>
  <si>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</si>
  <si>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</si>
  <si>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</si>
  <si>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</si>
  <si>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</si>
  <si>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</si>
  <si>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</si>
  <si>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</si>
  <si>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</si>
  <si>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</si>
  <si>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</si>
  <si>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</si>
  <si>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</si>
  <si>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</si>
  <si>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</si>
  <si>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</si>
  <si>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</si>
  <si>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</si>
  <si>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</si>
  <si>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</si>
  <si>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</si>
  <si>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</si>
  <si>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</si>
  <si>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</si>
  <si>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</si>
  <si>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</si>
  <si>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</si>
  <si>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</si>
  <si>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</si>
  <si>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</si>
  <si>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</si>
  <si>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</si>
  <si>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</si>
  <si>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</si>
  <si>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</si>
  <si>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</si>
  <si>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</si>
  <si>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</si>
  <si>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</si>
  <si>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</si>
  <si>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</si>
  <si>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</si>
  <si>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</si>
  <si>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</si>
  <si>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</si>
  <si>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</si>
  <si>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</si>
  <si>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</si>
  <si>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</si>
  <si>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</si>
  <si>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</si>
  <si>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</si>
  <si>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</si>
  <si>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</si>
  <si>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</si>
  <si>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</si>
  <si>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</si>
  <si>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</si>
  <si>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</si>
  <si>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</si>
  <si>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</si>
  <si>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</si>
  <si>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</si>
  <si>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</si>
  <si>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</si>
  <si>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</si>
  <si>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</si>
  <si>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</si>
  <si>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</si>
  <si>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</si>
  <si>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</si>
  <si>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</si>
  <si>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</si>
  <si>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</si>
  <si>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</si>
  <si>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</si>
  <si>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</si>
  <si>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</si>
  <si>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</si>
  <si>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</si>
  <si>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</si>
  <si>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</si>
  <si>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</si>
  <si>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</si>
  <si>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</si>
  <si>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</si>
  <si>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</si>
  <si>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</si>
  <si>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</si>
  <si>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</si>
  <si>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</si>
  <si>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</si>
  <si>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</si>
  <si>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</si>
  <si>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</si>
  <si>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</si>
  <si>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</si>
  <si>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</si>
  <si>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</si>
  <si>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</si>
  <si>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</si>
  <si>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</si>
  <si>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</si>
  <si>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</si>
  <si>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</si>
  <si>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</si>
  <si>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</si>
  <si>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</si>
  <si>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</si>
  <si>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</si>
  <si>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</si>
  <si>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</si>
  <si>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</si>
  <si>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</si>
  <si>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</si>
  <si>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</si>
  <si>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</si>
  <si>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</si>
  <si>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</si>
  <si>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</si>
  <si>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</si>
  <si>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</si>
  <si>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</si>
  <si>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</si>
  <si>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</si>
  <si>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</si>
  <si>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</si>
  <si>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</si>
  <si>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</si>
  <si>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</si>
  <si>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</si>
  <si>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</si>
  <si>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</si>
  <si>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</si>
  <si>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</si>
  <si>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</si>
  <si>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</si>
  <si>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</si>
  <si>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</si>
  <si>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</si>
  <si>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</si>
  <si>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</si>
  <si>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</si>
  <si>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</si>
  <si>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</si>
  <si>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</si>
  <si>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</si>
  <si>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</si>
  <si>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</si>
  <si>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</si>
  <si>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</si>
  <si>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</si>
  <si>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</si>
  <si>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</si>
  <si>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</si>
  <si>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</si>
  <si>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</si>
  <si>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</si>
  <si>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</si>
  <si>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</si>
  <si>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</si>
  <si>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</si>
  <si>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</si>
  <si>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</si>
  <si>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</si>
  <si>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</si>
  <si>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</si>
  <si>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</si>
  <si>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</si>
  <si>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</si>
  <si>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</si>
  <si>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</si>
  <si>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</si>
  <si>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</si>
  <si>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</si>
  <si>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</si>
  <si>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</si>
  <si>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</si>
  <si>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</si>
  <si>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</si>
  <si>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</si>
  <si>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</si>
  <si>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</si>
  <si>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</si>
  <si>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</si>
  <si>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</si>
  <si>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</si>
  <si>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</si>
  <si>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</si>
  <si>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</si>
  <si>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</si>
  <si>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</si>
  <si>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</si>
  <si>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</si>
  <si>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</si>
  <si>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</si>
  <si>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</si>
  <si>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</si>
  <si>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</si>
  <si>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</si>
  <si>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</si>
  <si>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</si>
  <si>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</si>
  <si>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</si>
  <si>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</si>
  <si>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</si>
  <si>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</si>
  <si>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</si>
  <si>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</si>
  <si>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</si>
  <si>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</si>
  <si>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</si>
  <si>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</si>
  <si>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</si>
  <si>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</si>
  <si>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</si>
  <si>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</si>
  <si>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</si>
  <si>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</si>
  <si>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</si>
  <si>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</si>
  <si>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</si>
  <si>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</si>
  <si>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</si>
  <si>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</si>
  <si>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</si>
  <si>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</si>
  <si>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</si>
  <si>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</si>
  <si>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</si>
  <si>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</si>
  <si>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</si>
  <si>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</si>
  <si>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</si>
  <si>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</si>
  <si>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</si>
  <si>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</si>
  <si>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</si>
  <si>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</si>
  <si>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</si>
  <si>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</si>
  <si>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</si>
  <si>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</si>
  <si>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</si>
  <si>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</si>
  <si>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</si>
  <si>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</si>
  <si>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</si>
  <si>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</si>
  <si>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</si>
  <si>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</si>
  <si>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</si>
  <si>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</si>
  <si>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</si>
  <si>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</si>
  <si>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</si>
  <si>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</si>
  <si>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</si>
  <si>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</si>
  <si>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</si>
  <si>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</si>
  <si>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</si>
  <si>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</si>
  <si>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</si>
  <si>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</si>
  <si>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</si>
  <si>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</si>
  <si>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</si>
  <si>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</si>
  <si>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</si>
  <si>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</si>
  <si>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</si>
  <si>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</si>
  <si>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</si>
  <si>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</si>
  <si>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</si>
  <si>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</si>
  <si>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</si>
  <si>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</si>
  <si>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</si>
  <si>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</si>
  <si>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</si>
  <si>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</si>
  <si>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</si>
  <si>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</si>
  <si>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</si>
  <si>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</si>
  <si>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</si>
  <si>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</si>
  <si>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</si>
  <si>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</si>
  <si>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</si>
  <si>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</si>
  <si>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</si>
  <si>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</si>
  <si>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</si>
  <si>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</si>
  <si>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</si>
  <si>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</si>
  <si>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</si>
  <si>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</si>
  <si>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</si>
  <si>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</si>
  <si>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</si>
  <si>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</si>
  <si>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</si>
  <si>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</si>
  <si>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</si>
  <si>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</si>
  <si>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</si>
  <si>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</si>
  <si>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</si>
  <si>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</si>
  <si>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</si>
  <si>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</si>
  <si>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</si>
  <si>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</si>
  <si>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</si>
  <si>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</si>
  <si>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</si>
  <si>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</si>
  <si>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</si>
  <si>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</si>
  <si>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</si>
  <si>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</si>
  <si>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</si>
  <si>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</si>
  <si>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</si>
  <si>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</si>
  <si>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</si>
  <si>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</si>
  <si>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</si>
  <si>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</si>
  <si>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</si>
  <si>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</si>
  <si>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</si>
  <si>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</si>
  <si>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</si>
  <si>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</si>
  <si>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</si>
  <si>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</si>
  <si>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</si>
  <si>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</si>
  <si>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</si>
  <si>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</si>
  <si>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</si>
  <si>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</si>
  <si>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</si>
  <si>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</si>
  <si>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</si>
  <si>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</si>
  <si>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</si>
  <si>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</si>
  <si>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</si>
  <si>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</si>
  <si>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</si>
  <si>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</si>
  <si>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</si>
  <si>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</si>
  <si>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</si>
  <si>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</si>
  <si>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</si>
  <si>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</si>
  <si>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</si>
  <si>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</si>
  <si>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</si>
  <si>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</si>
  <si>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</si>
  <si>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</si>
  <si>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</si>
  <si>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</si>
  <si>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</si>
  <si>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</si>
  <si>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</si>
  <si>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</si>
  <si>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</si>
  <si>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</si>
  <si>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</si>
  <si>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</si>
  <si>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</si>
  <si>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</si>
  <si>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</si>
  <si>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</si>
  <si>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</si>
  <si>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</si>
  <si>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</si>
  <si>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</si>
  <si>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</si>
  <si>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</si>
  <si>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</si>
  <si>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</si>
  <si>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</si>
  <si>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</si>
  <si>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</si>
  <si>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</si>
  <si>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</si>
  <si>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</si>
  <si>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</si>
  <si>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</si>
  <si>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</si>
  <si>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</si>
  <si>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</si>
  <si>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</si>
  <si>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</si>
  <si>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</si>
  <si>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</si>
  <si>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</si>
  <si>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</si>
  <si>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</si>
  <si>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</si>
  <si>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</si>
  <si>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</si>
  <si>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</si>
  <si>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</si>
  <si>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</si>
  <si>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</si>
  <si>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</si>
  <si>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</si>
  <si>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</si>
  <si>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</si>
  <si>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</si>
  <si>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</si>
  <si>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</si>
  <si>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</si>
  <si>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</si>
  <si>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</si>
  <si>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</si>
  <si>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</si>
  <si>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</si>
  <si>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</si>
  <si>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</si>
  <si>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</si>
  <si>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</si>
  <si>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</si>
  <si>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</si>
  <si>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</si>
  <si>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</si>
  <si>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</si>
  <si>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</si>
  <si>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</si>
  <si>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</si>
  <si>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</si>
  <si>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</si>
  <si>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</si>
  <si>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</si>
  <si>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</si>
  <si>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</si>
  <si>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</si>
  <si>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</si>
  <si>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</si>
  <si>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</si>
  <si>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</si>
  <si>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</si>
  <si>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</si>
  <si>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</si>
  <si>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</si>
  <si>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</si>
  <si>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</si>
  <si>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</si>
  <si>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</si>
  <si>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</si>
  <si>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</si>
  <si>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</si>
  <si>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</si>
  <si>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</si>
  <si>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</si>
  <si>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</si>
  <si>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</si>
  <si>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</si>
  <si>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</si>
  <si>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</si>
  <si>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</si>
  <si>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</si>
  <si>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</si>
  <si>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</si>
  <si>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</si>
  <si>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</si>
  <si>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</si>
  <si>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</si>
  <si>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</si>
  <si>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</si>
  <si>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</si>
  <si>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</si>
  <si>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</si>
  <si>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</si>
  <si>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</si>
  <si>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</si>
  <si>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</si>
  <si>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</si>
  <si>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</si>
  <si>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</si>
  <si>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</si>
  <si>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</si>
  <si>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</si>
  <si>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</si>
  <si>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</si>
  <si>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</si>
  <si>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</si>
  <si>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</si>
  <si>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</si>
  <si>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</si>
  <si>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</si>
  <si>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</si>
  <si>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</si>
  <si>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</si>
  <si>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</si>
  <si>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</si>
  <si>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</si>
  <si>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</si>
  <si>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</si>
  <si>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</si>
  <si>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</si>
  <si>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</si>
  <si>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</si>
  <si>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</si>
  <si>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</si>
  <si>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</si>
  <si>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</si>
  <si>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</si>
  <si>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</si>
  <si>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</si>
  <si>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</si>
  <si>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</si>
  <si>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</si>
  <si>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</si>
  <si>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</si>
  <si>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</si>
  <si>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</si>
  <si>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</si>
  <si>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</si>
  <si>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</si>
  <si>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</si>
  <si>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</si>
  <si>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</si>
  <si>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</si>
  <si>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</si>
  <si>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</si>
  <si>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</si>
  <si>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</si>
  <si>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</si>
  <si>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</si>
  <si>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</si>
  <si>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</si>
  <si>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</si>
  <si>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</si>
  <si>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</si>
  <si>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</si>
  <si>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</si>
  <si>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</si>
  <si>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</si>
  <si>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</si>
  <si>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</si>
  <si>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</si>
  <si>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</si>
  <si>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</si>
  <si>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</si>
  <si>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</si>
  <si>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</si>
  <si>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</si>
  <si>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</si>
  <si>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</si>
  <si>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</si>
  <si>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</si>
  <si>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</si>
  <si>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</si>
  <si>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</si>
  <si>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</si>
  <si>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</si>
  <si>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</si>
  <si>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</si>
  <si>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</si>
  <si>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</si>
  <si>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</si>
  <si>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</si>
  <si>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</si>
  <si>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</si>
  <si>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</si>
  <si>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</si>
  <si>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</si>
  <si>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</si>
  <si>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</si>
  <si>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</si>
  <si>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</si>
  <si>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</si>
  <si>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</si>
  <si>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</si>
  <si>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</si>
  <si>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</si>
  <si>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</si>
  <si>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</si>
  <si>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</si>
  <si>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</si>
  <si>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</si>
  <si>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</si>
  <si>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</si>
  <si>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</si>
  <si>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</si>
  <si>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</si>
  <si>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</si>
  <si>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</si>
  <si>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</si>
  <si>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</si>
  <si>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</si>
  <si>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</si>
  <si>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</si>
  <si>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</si>
  <si>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</si>
  <si>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</si>
  <si>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</si>
  <si>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</si>
  <si>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</si>
  <si>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</si>
  <si>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</si>
  <si>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</si>
  <si>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</si>
  <si>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</si>
  <si>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</si>
  <si>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</si>
  <si>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</si>
  <si>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</si>
  <si>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</si>
  <si>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</si>
  <si>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</si>
  <si>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</si>
  <si>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</si>
  <si>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</si>
  <si>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</si>
  <si>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</si>
  <si>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</si>
  <si>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</si>
  <si>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</si>
  <si>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</si>
  <si>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</si>
  <si>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</si>
  <si>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</si>
  <si>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</si>
  <si>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</si>
  <si>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</si>
  <si>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</si>
  <si>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</si>
  <si>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</si>
  <si>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</si>
  <si>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</si>
  <si>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</si>
  <si>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</si>
  <si>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</si>
  <si>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</si>
  <si>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</si>
  <si>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</si>
  <si>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</si>
  <si>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</si>
  <si>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</si>
  <si>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</si>
  <si>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</si>
  <si>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</si>
  <si>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</si>
  <si>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</si>
  <si>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</si>
  <si>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</si>
  <si>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</si>
  <si>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</si>
  <si>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</si>
  <si>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</si>
  <si>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</si>
  <si>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</si>
  <si>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</si>
  <si>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</si>
  <si>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</si>
  <si>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</si>
  <si>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</si>
  <si>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</si>
  <si>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</si>
  <si>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</si>
  <si>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</si>
  <si>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</si>
  <si>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</si>
  <si>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</si>
  <si>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</si>
  <si>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</si>
  <si>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</si>
  <si>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</si>
  <si>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</si>
  <si>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</si>
  <si>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</si>
  <si>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</si>
  <si>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</si>
  <si>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</si>
  <si>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</si>
  <si>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</si>
  <si>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</si>
  <si>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</si>
  <si>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</si>
  <si>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</si>
  <si>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</si>
  <si>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</si>
  <si>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</si>
  <si>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</si>
  <si>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</si>
  <si>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</si>
  <si>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</si>
  <si>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</si>
  <si>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</si>
  <si>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</si>
  <si>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</si>
  <si>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</si>
  <si>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</si>
  <si>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</si>
  <si>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</si>
  <si>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</si>
  <si>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</si>
  <si>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</si>
  <si>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</si>
  <si>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</si>
  <si>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</si>
  <si>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</si>
  <si>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</si>
  <si>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</si>
  <si>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</si>
  <si>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</si>
  <si>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</si>
  <si>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</si>
  <si>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</si>
  <si>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</si>
  <si>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</si>
  <si>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</si>
  <si>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</si>
  <si>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</si>
  <si>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</si>
  <si>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</si>
  <si>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</si>
  <si>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</si>
  <si>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</si>
  <si>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</si>
  <si>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</si>
  <si>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</si>
  <si>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</si>
  <si>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</si>
  <si>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</si>
  <si>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</si>
  <si>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</si>
  <si>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</si>
  <si>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</si>
  <si>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</si>
  <si>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</si>
  <si>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</si>
  <si>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</si>
  <si>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</si>
  <si>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</si>
  <si>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</si>
  <si>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</si>
  <si>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</si>
  <si>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</si>
  <si>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</si>
  <si>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</si>
  <si>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</si>
  <si>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</si>
  <si>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</si>
  <si>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</si>
  <si>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</si>
  <si>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</si>
  <si>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</si>
  <si>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</si>
  <si>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</si>
  <si>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</si>
  <si>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</si>
  <si>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</si>
  <si>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</si>
  <si>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</si>
  <si>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</si>
  <si>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</si>
  <si>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</si>
  <si>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</si>
  <si>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</si>
  <si>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</si>
  <si>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</si>
  <si>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</si>
  <si>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</si>
  <si>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</si>
  <si>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</si>
  <si>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</si>
  <si>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</si>
  <si>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</si>
  <si>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</si>
  <si>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</si>
  <si>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</si>
  <si>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</si>
  <si>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</si>
  <si>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</si>
  <si>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</si>
  <si>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</si>
  <si>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</si>
  <si>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</si>
  <si>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</si>
  <si>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</si>
  <si>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</si>
  <si>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</si>
  <si>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</si>
  <si>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</si>
  <si>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</si>
  <si>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</si>
  <si>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</si>
  <si>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</si>
  <si>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</si>
  <si>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</si>
  <si>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</si>
  <si>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</si>
  <si>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</si>
  <si>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</si>
  <si>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</si>
  <si>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</si>
  <si>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</si>
  <si>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</si>
  <si>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</si>
  <si>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</si>
  <si>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</si>
  <si>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</si>
  <si>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</si>
  <si>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</si>
  <si>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</si>
  <si>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</si>
  <si>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</si>
  <si>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</si>
  <si>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</si>
  <si>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</si>
  <si>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</si>
  <si>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</si>
  <si>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</si>
  <si>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</si>
  <si>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</si>
  <si>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</si>
  <si>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</si>
  <si>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</si>
  <si>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</si>
  <si>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</si>
  <si>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</si>
  <si>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</si>
  <si>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</si>
  <si>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</si>
  <si>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</si>
  <si>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</si>
  <si>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</si>
  <si>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</si>
  <si>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</si>
  <si>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</si>
  <si>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</si>
  <si>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</si>
  <si>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</si>
  <si>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</si>
  <si>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</si>
  <si>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</si>
  <si>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</si>
  <si>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</si>
  <si>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</si>
  <si>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</si>
  <si>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</si>
  <si>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</si>
  <si>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</si>
  <si>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</si>
  <si>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</si>
  <si>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</si>
  <si>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</si>
  <si>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</si>
  <si>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</si>
  <si>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</si>
  <si>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</si>
  <si>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</si>
  <si>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</si>
  <si>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</si>
  <si>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</si>
  <si>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</si>
  <si>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</si>
  <si>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</si>
  <si>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</si>
  <si>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</si>
  <si>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</si>
  <si>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</si>
  <si>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</si>
  <si>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</si>
  <si>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</si>
  <si>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</si>
  <si>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</si>
  <si>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</si>
  <si>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</si>
  <si>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</si>
  <si>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</si>
  <si>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</si>
  <si>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</si>
  <si>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</si>
  <si>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</si>
  <si>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</si>
  <si>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</si>
  <si>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</si>
  <si>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</si>
  <si>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</si>
  <si>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</si>
  <si>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</si>
  <si>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</si>
  <si>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</si>
  <si>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</si>
  <si>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</si>
  <si>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</si>
  <si>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</si>
  <si>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</si>
  <si>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</si>
  <si>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</si>
  <si>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</si>
  <si>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</si>
  <si>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</si>
  <si>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</si>
  <si>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</si>
  <si>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</si>
  <si>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</si>
  <si>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</si>
  <si>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</si>
  <si>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</si>
  <si>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</si>
  <si>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</si>
  <si>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</si>
  <si>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</si>
  <si>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</si>
  <si>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</si>
  <si>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</si>
  <si>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</si>
  <si>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</si>
  <si>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</si>
  <si>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</si>
  <si>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</si>
  <si>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</si>
  <si>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</si>
  <si>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</si>
  <si>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</si>
  <si>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</si>
  <si>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</si>
  <si>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</si>
  <si>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</si>
  <si>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</si>
  <si>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</si>
  <si>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</si>
  <si>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</si>
  <si>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</si>
  <si>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</si>
  <si>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</si>
  <si>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</si>
  <si>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</si>
  <si>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</si>
  <si>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</si>
  <si>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</si>
  <si>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</si>
  <si>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</si>
  <si>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</si>
  <si>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</si>
  <si>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</si>
  <si>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</si>
  <si>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</si>
  <si>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</si>
  <si>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</si>
  <si>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</si>
  <si>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</si>
  <si>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</si>
  <si>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</si>
  <si>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</si>
  <si>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</si>
  <si>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</si>
  <si>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</si>
  <si>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</si>
  <si>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</si>
  <si>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</si>
  <si>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</si>
  <si>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</si>
  <si>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</si>
  <si>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</si>
  <si>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</si>
  <si>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</si>
  <si>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</si>
  <si>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</si>
  <si>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</si>
  <si>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</si>
  <si>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</si>
  <si>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</si>
  <si>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</si>
  <si>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</si>
  <si>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</si>
  <si>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</si>
  <si>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</si>
  <si>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</si>
  <si>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</si>
  <si>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</si>
  <si>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</si>
  <si>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</si>
  <si>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</si>
  <si>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</si>
  <si>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</si>
  <si>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</si>
  <si>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</si>
  <si>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</si>
  <si>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</si>
  <si>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</si>
  <si>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</si>
  <si>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</si>
  <si>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</si>
  <si>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</si>
  <si>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</si>
  <si>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</si>
  <si>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</si>
  <si>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</si>
  <si>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</si>
  <si>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</si>
  <si>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</si>
  <si>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</si>
  <si>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</si>
  <si>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</si>
  <si>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</si>
  <si>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</si>
  <si>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</si>
  <si>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</si>
  <si>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</si>
  <si>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</si>
  <si>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</si>
  <si>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</si>
  <si>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</si>
  <si>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</si>
  <si>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</si>
  <si>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</si>
  <si>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</si>
  <si>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</si>
  <si>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</si>
  <si>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</si>
  <si>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</si>
  <si>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</si>
  <si>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</si>
  <si>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</si>
  <si>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</si>
  <si>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</si>
  <si>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</si>
  <si>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</si>
  <si>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</si>
  <si>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</si>
  <si>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</si>
  <si>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</si>
  <si>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</si>
  <si>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</si>
  <si>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</si>
  <si>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</si>
  <si>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</si>
  <si>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</si>
  <si>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</si>
  <si>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</si>
  <si>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</si>
  <si>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</si>
  <si>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</si>
  <si>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</si>
  <si>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</si>
  <si>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</si>
  <si>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</si>
  <si>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</si>
  <si>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</si>
  <si>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</si>
  <si>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</si>
  <si>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</si>
  <si>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</si>
  <si>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</si>
  <si>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</si>
  <si>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</si>
  <si>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</si>
  <si>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</si>
  <si>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</si>
  <si>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</si>
  <si>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</si>
  <si>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</si>
  <si>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</si>
  <si>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</si>
  <si>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</si>
  <si>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</si>
  <si>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</si>
  <si>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</si>
  <si>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</si>
  <si>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</si>
  <si>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</si>
  <si>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</si>
  <si>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</si>
  <si>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</si>
  <si>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</si>
  <si>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</si>
  <si>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</si>
  <si>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</si>
  <si>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</si>
  <si>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</si>
  <si>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</si>
  <si>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</si>
  <si>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</si>
  <si>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</si>
  <si>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</si>
  <si>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</si>
  <si>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</si>
  <si>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</si>
  <si>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</si>
  <si>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</si>
  <si>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</si>
  <si>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</si>
  <si>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</si>
  <si>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</si>
  <si>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</si>
  <si>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</si>
  <si>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</si>
  <si>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</si>
  <si>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</si>
  <si>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</si>
  <si>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</si>
  <si>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</si>
  <si>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</si>
  <si>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</si>
  <si>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</si>
  <si>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</si>
  <si>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</si>
  <si>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</si>
  <si>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</si>
  <si>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</si>
  <si>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</si>
  <si>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</si>
  <si>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</si>
  <si>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</si>
  <si>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</si>
  <si>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</si>
  <si>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</si>
  <si>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</si>
  <si>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</si>
  <si>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</si>
  <si>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</si>
  <si>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</si>
  <si>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</si>
  <si>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</si>
  <si>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</si>
  <si>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</si>
  <si>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</si>
  <si>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</si>
  <si>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</si>
  <si>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</si>
  <si>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</si>
  <si>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</si>
  <si>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</si>
  <si>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</si>
  <si>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</si>
  <si>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</si>
  <si>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</si>
  <si>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</si>
  <si>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</si>
  <si>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</si>
  <si>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</si>
  <si>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</si>
  <si>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</si>
  <si>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</si>
  <si>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</si>
  <si>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</si>
  <si>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</si>
  <si>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</si>
  <si>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</si>
  <si>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</si>
  <si>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</si>
  <si>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</si>
  <si>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</si>
  <si>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</si>
  <si>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</si>
  <si>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</si>
  <si>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</si>
  <si>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</si>
  <si>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</si>
  <si>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</si>
  <si>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</si>
  <si>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</si>
  <si>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</si>
  <si>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</si>
  <si>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</si>
  <si>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</si>
  <si>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</si>
  <si>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</si>
  <si>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</si>
  <si>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</si>
  <si>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</si>
  <si>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</si>
  <si>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</si>
  <si>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</si>
  <si>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</si>
  <si>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</si>
  <si>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</si>
  <si>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</si>
  <si>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</si>
  <si>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</si>
  <si>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</si>
  <si>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</si>
  <si>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</si>
  <si>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</si>
  <si>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</si>
  <si>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</si>
  <si>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</si>
  <si>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</si>
  <si>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</si>
  <si>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</si>
  <si>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</si>
  <si>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</si>
  <si>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</si>
  <si>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</si>
  <si>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</si>
  <si>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</si>
  <si>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</si>
  <si>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</si>
  <si>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</si>
  <si>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</si>
  <si>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</si>
  <si>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</si>
  <si>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</si>
  <si>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</si>
  <si>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</si>
  <si>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</si>
  <si>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</si>
  <si>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</si>
  <si>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</si>
  <si>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</si>
  <si>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</si>
  <si>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</si>
  <si>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</si>
  <si>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</si>
  <si>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</si>
  <si>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</si>
  <si>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</si>
  <si>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</si>
  <si>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</si>
  <si>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</si>
  <si>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</si>
  <si>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</si>
  <si>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</si>
  <si>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</si>
  <si>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</si>
  <si>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</si>
  <si>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</si>
  <si>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</si>
  <si>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</si>
  <si>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</si>
  <si>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</si>
  <si>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</si>
  <si>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</si>
  <si>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</si>
  <si>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</si>
  <si>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</si>
  <si>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</si>
  <si>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</si>
  <si>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</si>
  <si>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</si>
  <si>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</si>
  <si>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</si>
  <si>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</si>
  <si>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</si>
  <si>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</si>
  <si>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</si>
  <si>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</si>
  <si>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</si>
  <si>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</si>
  <si>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</si>
  <si>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</si>
  <si>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</si>
  <si>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</si>
  <si>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</si>
  <si>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</si>
  <si>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</si>
  <si>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</si>
  <si>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</si>
  <si>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</si>
  <si>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</si>
  <si>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</si>
  <si>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</si>
  <si>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</si>
  <si>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</si>
  <si>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</si>
  <si>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</si>
  <si>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</si>
  <si>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</si>
  <si>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</si>
  <si>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</si>
  <si>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</si>
  <si>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</si>
  <si>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</si>
  <si>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</si>
  <si>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</si>
  <si>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</si>
  <si>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</si>
  <si>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</si>
  <si>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</si>
  <si>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</si>
  <si>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</si>
  <si>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</si>
  <si>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</si>
  <si>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</si>
  <si>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</si>
  <si>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</si>
  <si>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</si>
  <si>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</si>
  <si>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</si>
  <si>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</si>
  <si>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</si>
  <si>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</si>
  <si>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</si>
  <si>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</si>
  <si>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</si>
  <si>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</si>
  <si>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</si>
  <si>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</si>
  <si>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</si>
  <si>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</si>
  <si>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</si>
  <si>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</si>
  <si>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</si>
  <si>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</si>
  <si>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</si>
  <si>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</si>
  <si>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</si>
  <si>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</si>
  <si>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</si>
  <si>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</si>
  <si>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</si>
  <si>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</si>
  <si>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</si>
  <si>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</si>
  <si>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</si>
  <si>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</si>
  <si>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</si>
  <si>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</si>
  <si>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</si>
  <si>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</si>
  <si>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</si>
  <si>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</si>
  <si>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</si>
  <si>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</si>
  <si>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</si>
  <si>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</si>
  <si>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</si>
  <si>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</si>
  <si>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</si>
  <si>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</si>
  <si>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</si>
  <si>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</si>
  <si>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</si>
  <si>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</si>
  <si>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</si>
  <si>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</si>
  <si>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</si>
  <si>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</si>
  <si>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</si>
  <si>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</si>
  <si>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</si>
  <si>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</si>
  <si>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</si>
  <si>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</si>
  <si>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</si>
  <si>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</si>
  <si>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</si>
  <si>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</si>
  <si>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</si>
  <si>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</si>
  <si>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</si>
  <si>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</si>
  <si>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</si>
  <si>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</si>
  <si>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</si>
  <si>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</si>
  <si>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</si>
  <si>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</si>
  <si>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</si>
  <si>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</si>
  <si>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</si>
  <si>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</si>
  <si>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</si>
  <si>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</si>
  <si>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</si>
  <si>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</si>
  <si>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</si>
  <si>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</si>
  <si>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</si>
  <si>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</si>
  <si>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</si>
  <si>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</si>
  <si>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</si>
  <si>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</si>
  <si>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</si>
  <si>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</si>
  <si>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</si>
  <si>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</si>
  <si>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</si>
  <si>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</si>
  <si>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</si>
  <si>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</si>
  <si>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</si>
  <si>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</si>
  <si>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</si>
  <si>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</si>
  <si>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</si>
  <si>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</si>
  <si>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</si>
  <si>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</si>
  <si>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</si>
  <si>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</si>
  <si>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</si>
  <si>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</si>
  <si>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</si>
  <si>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</si>
  <si>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</si>
  <si>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</si>
  <si>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</si>
  <si>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</si>
  <si>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</si>
  <si>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</si>
  <si>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</si>
  <si>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</si>
  <si>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</si>
  <si>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</si>
  <si>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</si>
  <si>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</si>
  <si>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</si>
  <si>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</si>
  <si>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</si>
  <si>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</si>
  <si>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</si>
  <si>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</si>
  <si>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</si>
  <si>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</si>
  <si>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</si>
  <si>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</si>
  <si>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</si>
  <si>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</si>
  <si>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</si>
  <si>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</si>
  <si>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</si>
  <si>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</si>
  <si>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</si>
  <si>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</si>
  <si>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</si>
  <si>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</si>
  <si>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</si>
  <si>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</si>
  <si>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</si>
  <si>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</si>
  <si>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</si>
  <si>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</si>
  <si>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</si>
  <si>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</si>
  <si>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</si>
  <si>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</si>
  <si>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</si>
  <si>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</si>
  <si>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</si>
  <si>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</si>
  <si>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</si>
  <si>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</si>
  <si>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</si>
  <si>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</si>
  <si>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</si>
  <si>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</si>
  <si>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</si>
  <si>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</si>
  <si>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</si>
  <si>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</si>
  <si>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</si>
  <si>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</si>
  <si>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</si>
  <si>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</si>
  <si>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</si>
  <si>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</si>
  <si>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</si>
  <si>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</si>
  <si>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</si>
  <si>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</si>
  <si>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</si>
  <si>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</si>
  <si>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</si>
  <si>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</si>
  <si>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</si>
  <si>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</si>
  <si>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</si>
  <si>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</si>
  <si>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</si>
  <si>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</si>
  <si>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</si>
  <si>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</si>
  <si>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</si>
  <si>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</si>
  <si>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</si>
  <si>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</si>
  <si>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</si>
  <si>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</si>
  <si>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</si>
  <si>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</si>
  <si>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</si>
  <si>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</si>
  <si>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</si>
  <si>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</si>
  <si>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</si>
  <si>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</si>
  <si>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</si>
  <si>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</si>
  <si>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</si>
  <si>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</si>
  <si>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</si>
  <si>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</si>
  <si>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</si>
  <si>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</si>
  <si>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</si>
  <si>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</si>
  <si>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</si>
  <si>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</si>
  <si>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</si>
  <si>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</si>
  <si>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</si>
  <si>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</si>
  <si>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</si>
  <si>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</si>
  <si>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</si>
  <si>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</si>
  <si>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</si>
  <si>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</si>
  <si>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</si>
  <si>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</si>
  <si>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</si>
  <si>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</si>
  <si>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</si>
  <si>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</si>
  <si>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</si>
  <si>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</si>
  <si>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</si>
  <si>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</si>
  <si>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</si>
  <si>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</si>
  <si>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</si>
  <si>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</si>
  <si>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</si>
  <si>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</si>
  <si>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</si>
  <si>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</si>
  <si>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</si>
  <si>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</si>
  <si>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</si>
  <si>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</si>
  <si>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</si>
  <si>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</si>
  <si>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</si>
  <si>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</si>
  <si>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</si>
  <si>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</si>
  <si>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</si>
  <si>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</si>
  <si>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</si>
  <si>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</si>
  <si>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</si>
  <si>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</si>
  <si>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</si>
  <si>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</si>
  <si>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</si>
  <si>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</si>
  <si>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</si>
  <si>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</si>
  <si>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</si>
  <si>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</si>
  <si>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</si>
  <si>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</si>
  <si>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</si>
  <si>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</si>
  <si>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</si>
  <si>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</si>
  <si>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</si>
  <si>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</si>
  <si>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</si>
  <si>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</si>
  <si>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</si>
  <si>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</si>
  <si>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</si>
  <si>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</si>
  <si>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</si>
  <si>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</si>
  <si>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</si>
  <si>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</si>
  <si>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</si>
  <si>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</si>
  <si>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</si>
  <si>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</si>
  <si>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</si>
  <si>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</si>
  <si>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</si>
  <si>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</si>
  <si>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</si>
  <si>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</si>
  <si>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</si>
  <si>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</si>
  <si>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</si>
  <si>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</si>
  <si>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</si>
  <si>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</si>
  <si>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</si>
  <si>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</si>
  <si>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</si>
  <si>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</si>
  <si>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</si>
  <si>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</si>
  <si>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</si>
  <si>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</si>
  <si>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</si>
  <si>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</si>
  <si>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</si>
  <si>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</si>
  <si>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</si>
  <si>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</si>
  <si>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</si>
  <si>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</si>
  <si>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</si>
  <si>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</si>
  <si>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</si>
  <si>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</si>
  <si>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</si>
  <si>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</si>
  <si>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</si>
  <si>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</si>
  <si>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</si>
  <si>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</si>
  <si>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</si>
  <si>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</si>
  <si>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</si>
  <si>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</si>
  <si>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</si>
  <si>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</si>
  <si>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</si>
  <si>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</si>
  <si>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</si>
  <si>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</si>
  <si>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</si>
  <si>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</si>
  <si>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</si>
  <si>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</si>
  <si>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</si>
  <si>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</si>
  <si>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</si>
  <si>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</si>
  <si>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</si>
  <si>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</si>
  <si>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</si>
  <si>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</si>
  <si>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</si>
  <si>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</si>
  <si>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</si>
  <si>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</si>
  <si>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</si>
  <si>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</si>
  <si>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</si>
  <si>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</si>
  <si>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</si>
  <si>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</si>
  <si>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</si>
  <si>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</si>
  <si>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</si>
  <si>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</si>
  <si>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</si>
  <si>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</si>
  <si>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</si>
  <si>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</si>
  <si>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</si>
  <si>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</si>
  <si>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</si>
  <si>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</si>
  <si>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</si>
  <si>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</si>
  <si>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</si>
  <si>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</si>
  <si>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</si>
  <si>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</si>
  <si>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</si>
  <si>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</si>
  <si>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</si>
  <si>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</si>
  <si>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</si>
  <si>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</si>
  <si>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</si>
  <si>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</si>
  <si>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</si>
  <si>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</si>
  <si>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</si>
  <si>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</si>
  <si>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</si>
  <si>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</si>
  <si>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</si>
  <si>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</si>
  <si>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</si>
  <si>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</si>
  <si>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</si>
  <si>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</si>
  <si>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</si>
  <si>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</si>
  <si>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</si>
  <si>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</si>
  <si>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</si>
  <si>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</si>
  <si>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</si>
  <si>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</si>
  <si>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</si>
  <si>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</si>
  <si>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</si>
  <si>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</si>
  <si>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</si>
  <si>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</si>
  <si>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</si>
  <si>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</si>
  <si>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</si>
  <si>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</si>
  <si>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</si>
  <si>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</si>
  <si>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</si>
  <si>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</si>
  <si>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</si>
  <si>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</si>
  <si>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</si>
  <si>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</si>
  <si>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</si>
  <si>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</si>
  <si>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</si>
  <si>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</si>
  <si>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</si>
  <si>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</si>
  <si>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</si>
  <si>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</si>
  <si>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</si>
  <si>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</si>
  <si>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</si>
  <si>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</si>
  <si>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</si>
  <si>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</si>
  <si>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</si>
  <si>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</si>
  <si>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</si>
  <si>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</si>
  <si>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</si>
  <si>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</si>
  <si>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</si>
  <si>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</si>
  <si>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</si>
  <si>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</si>
  <si>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</si>
  <si>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</si>
  <si>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</si>
  <si>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</si>
  <si>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</si>
  <si>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</si>
  <si>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</si>
  <si>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</si>
  <si>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</si>
  <si>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</si>
  <si>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</si>
  <si>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</si>
  <si>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</si>
  <si>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</si>
  <si>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</si>
  <si>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</si>
  <si>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</si>
  <si>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</si>
  <si>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</si>
  <si>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</si>
  <si>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</si>
  <si>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</si>
  <si>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</si>
  <si>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</si>
  <si>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</si>
  <si>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</si>
  <si>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</si>
  <si>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</si>
  <si>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</si>
  <si>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</si>
  <si>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</si>
  <si>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</si>
  <si>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</si>
  <si>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</si>
  <si>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</si>
  <si>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</si>
  <si>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</si>
  <si>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</si>
  <si>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</si>
  <si>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</si>
  <si>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</si>
  <si>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</si>
  <si>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</si>
  <si>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</si>
  <si>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</si>
  <si>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</si>
  <si>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</si>
  <si>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</si>
  <si>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</si>
  <si>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</si>
  <si>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</si>
  <si>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</si>
  <si>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</si>
  <si>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</si>
  <si>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</si>
  <si>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</si>
  <si>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</si>
  <si>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</si>
  <si>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</si>
  <si>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</si>
  <si>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</si>
  <si>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</si>
  <si>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</si>
  <si>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</si>
  <si>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</si>
  <si>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</si>
  <si>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</si>
  <si>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</si>
  <si>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</si>
  <si>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</si>
  <si>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</si>
  <si>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</si>
  <si>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</si>
  <si>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</si>
  <si>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</si>
  <si>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</si>
  <si>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</si>
  <si>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</si>
  <si>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</si>
  <si>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</si>
  <si>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</si>
  <si>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</si>
  <si>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</si>
  <si>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</si>
  <si>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</si>
  <si>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</si>
  <si>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</si>
  <si>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</si>
  <si>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</si>
  <si>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</si>
  <si>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</si>
  <si>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</si>
  <si>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</si>
  <si>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</si>
  <si>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</si>
  <si>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</si>
  <si>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</si>
  <si>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</si>
  <si>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</si>
  <si>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</si>
  <si>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</si>
  <si>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</si>
  <si>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</si>
  <si>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</si>
  <si>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</si>
  <si>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</si>
  <si>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</si>
  <si>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</si>
  <si>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</si>
  <si>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</si>
  <si>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</si>
  <si>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</si>
  <si>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</si>
  <si>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</si>
  <si>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</si>
  <si>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</si>
  <si>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</si>
  <si>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</si>
  <si>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</si>
  <si>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</si>
  <si>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</si>
  <si>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</si>
  <si>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</si>
  <si>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</si>
  <si>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</si>
  <si>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</si>
  <si>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</si>
  <si>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</si>
  <si>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</si>
  <si>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</si>
  <si>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</si>
  <si>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</si>
  <si>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</si>
  <si>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</si>
  <si>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</si>
  <si>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</si>
  <si>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</si>
  <si>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</si>
  <si>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</si>
  <si>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</si>
  <si>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</si>
  <si>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</si>
  <si>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</si>
  <si>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</si>
  <si>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</si>
  <si>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</si>
  <si>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</si>
  <si>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</si>
  <si>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</si>
  <si>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</si>
  <si>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</si>
  <si>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</si>
  <si>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</si>
  <si>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</si>
  <si>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</si>
  <si>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</si>
  <si>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</si>
  <si>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</si>
  <si>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</si>
  <si>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</si>
  <si>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</si>
  <si>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</si>
  <si>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</si>
  <si>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</si>
  <si>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</si>
  <si>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</si>
  <si>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</si>
  <si>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</si>
  <si>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</si>
  <si>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</si>
  <si>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</si>
  <si>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</si>
  <si>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</si>
  <si>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</si>
  <si>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</si>
  <si>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</si>
  <si>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</si>
  <si>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</si>
  <si>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</si>
  <si>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</si>
  <si>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</si>
  <si>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</si>
  <si>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</si>
  <si>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</si>
  <si>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</si>
  <si>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</si>
  <si>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</si>
  <si>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</si>
  <si>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</si>
  <si>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</si>
  <si>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</si>
  <si>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</si>
  <si>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</si>
  <si>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</si>
  <si>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</si>
  <si>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</si>
  <si>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</si>
  <si>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</si>
  <si>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</si>
  <si>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</si>
  <si>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</si>
  <si>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</si>
  <si>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</si>
  <si>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</si>
  <si>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</si>
  <si>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</si>
  <si>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</si>
  <si>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</si>
  <si>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</si>
  <si>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</si>
  <si>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</si>
  <si>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</si>
  <si>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</si>
  <si>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</si>
  <si>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</si>
  <si>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</si>
  <si>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</si>
  <si>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</si>
  <si>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</si>
  <si>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</si>
  <si>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</si>
  <si>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</si>
  <si>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</si>
  <si>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</si>
  <si>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</si>
  <si>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</si>
  <si>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</si>
  <si>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</si>
  <si>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</si>
  <si>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</si>
  <si>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</si>
  <si>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</si>
  <si>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</si>
  <si>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</si>
  <si>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</si>
  <si>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</si>
  <si>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</si>
  <si>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</si>
  <si>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</si>
  <si>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</si>
  <si>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</si>
  <si>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</si>
  <si>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</si>
  <si>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</si>
  <si>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</si>
  <si>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</si>
  <si>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</si>
  <si>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</si>
  <si>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</si>
  <si>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</si>
  <si>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</si>
  <si>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</si>
  <si>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</si>
  <si>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</si>
  <si>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</si>
  <si>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</si>
  <si>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</si>
  <si>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</si>
  <si>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</si>
  <si>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</si>
  <si>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</si>
  <si>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</si>
  <si>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</si>
  <si>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</si>
  <si>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</si>
  <si>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</si>
  <si>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</si>
  <si>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</si>
  <si>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</si>
  <si>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</si>
  <si>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</si>
  <si>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</si>
  <si>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</si>
  <si>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</si>
  <si>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</si>
  <si>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</si>
  <si>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</si>
  <si>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</si>
  <si>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</si>
  <si>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</si>
  <si>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</si>
  <si>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</si>
  <si>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</si>
  <si>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</si>
  <si>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</si>
  <si>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</si>
  <si>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</si>
  <si>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</si>
  <si>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</si>
  <si>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</si>
  <si>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</si>
  <si>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</si>
  <si>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</si>
  <si>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</si>
  <si>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</si>
  <si>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</si>
  <si>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</si>
  <si>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</si>
  <si>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</si>
  <si>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</si>
  <si>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</si>
  <si>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</si>
  <si>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</si>
  <si>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</si>
  <si>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</si>
  <si>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</si>
  <si>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</si>
  <si>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</si>
  <si>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</si>
  <si>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</si>
  <si>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</si>
  <si>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</si>
  <si>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</si>
  <si>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</si>
  <si>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</si>
  <si>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</si>
  <si>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</si>
  <si>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</si>
  <si>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</si>
  <si>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</si>
  <si>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</si>
  <si>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</si>
  <si>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</si>
  <si>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</si>
  <si>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</si>
  <si>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</si>
  <si>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</si>
  <si>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</si>
  <si>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</si>
  <si>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</si>
  <si>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</si>
  <si>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</si>
  <si>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</si>
  <si>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</si>
  <si>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</si>
  <si>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</si>
  <si>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</si>
  <si>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</si>
  <si>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</si>
  <si>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</si>
  <si>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</si>
  <si>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</si>
  <si>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</si>
  <si>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</si>
  <si>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</si>
  <si>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</si>
  <si>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</si>
  <si>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</si>
  <si>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</si>
  <si>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</si>
  <si>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</si>
  <si>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</si>
  <si>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</si>
  <si>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</si>
  <si>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</si>
  <si>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</si>
  <si>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</si>
  <si>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</si>
  <si>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</si>
  <si>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</si>
  <si>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</si>
  <si>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</si>
  <si>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</si>
  <si>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</si>
  <si>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</si>
  <si>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</si>
  <si>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</si>
  <si>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</si>
  <si>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</si>
  <si>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</si>
  <si>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</si>
  <si>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</si>
  <si>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</si>
  <si>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</si>
  <si>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</si>
  <si>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</si>
  <si>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</si>
  <si>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</si>
  <si>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</si>
  <si>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</si>
  <si>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</si>
  <si>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</si>
  <si>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</si>
  <si>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</si>
  <si>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</si>
  <si>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</si>
  <si>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</si>
  <si>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</si>
  <si>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</si>
  <si>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</si>
  <si>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</si>
  <si>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</si>
  <si>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</si>
  <si>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</si>
  <si>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</si>
  <si>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</si>
  <si>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</si>
  <si>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</si>
  <si>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</si>
  <si>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</si>
  <si>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</si>
  <si>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</si>
  <si>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</si>
  <si>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</si>
  <si>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</si>
  <si>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</si>
  <si>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</si>
  <si>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</si>
  <si>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</si>
  <si>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</si>
  <si>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</si>
  <si>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</si>
  <si>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</si>
  <si>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</si>
  <si>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</si>
  <si>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</si>
  <si>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</si>
  <si>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</si>
  <si>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</si>
  <si>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</si>
  <si>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</si>
  <si>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</si>
  <si>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</si>
  <si>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</si>
  <si>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</si>
  <si>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</si>
  <si>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</si>
  <si>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</si>
  <si>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</si>
  <si>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</si>
  <si>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</si>
  <si>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</si>
  <si>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</si>
  <si>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</si>
  <si>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</si>
  <si>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</si>
  <si>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</si>
  <si>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</si>
  <si>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</si>
  <si>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</si>
  <si>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</si>
  <si>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</si>
  <si>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</si>
  <si>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</si>
  <si>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</si>
  <si>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</si>
  <si>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</si>
  <si>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</si>
  <si>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</si>
  <si>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</si>
  <si>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</si>
  <si>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</si>
  <si>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</si>
  <si>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</si>
  <si>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</si>
  <si>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</si>
  <si>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</si>
  <si>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</si>
  <si>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</si>
  <si>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</si>
  <si>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</si>
  <si>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</si>
  <si>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</si>
  <si>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</si>
  <si>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</si>
  <si>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</si>
  <si>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</si>
  <si>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</si>
  <si>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</si>
  <si>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</si>
  <si>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</si>
  <si>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</si>
  <si>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</si>
  <si>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</si>
  <si>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</si>
  <si>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</si>
  <si>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</si>
  <si>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</si>
  <si>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</si>
  <si>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</si>
  <si>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</si>
  <si>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</si>
  <si>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</si>
  <si>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</si>
  <si>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</si>
  <si>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</si>
  <si>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</si>
  <si>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</si>
  <si>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</si>
  <si>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</si>
  <si>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</si>
  <si>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</si>
  <si>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</si>
  <si>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</si>
  <si>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</si>
  <si>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</si>
  <si>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</si>
  <si>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</si>
  <si>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</si>
  <si>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</si>
  <si>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</si>
  <si>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</si>
  <si>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</si>
  <si>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</si>
  <si>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</si>
  <si>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</si>
  <si>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</si>
  <si>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</si>
  <si>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</si>
  <si>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</si>
  <si>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</si>
  <si>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</si>
  <si>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</si>
  <si>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</si>
  <si>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</si>
  <si>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</si>
  <si>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</si>
  <si>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</si>
  <si>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</si>
  <si>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</si>
  <si>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</si>
  <si>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</si>
  <si>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</si>
  <si>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</si>
  <si>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</si>
  <si>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</si>
  <si>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</si>
  <si>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</si>
  <si>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</si>
  <si>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</si>
  <si>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</si>
  <si>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</si>
  <si>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</si>
  <si>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</si>
  <si>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</si>
  <si>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</si>
  <si>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</si>
  <si>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</si>
  <si>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</si>
  <si>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</si>
  <si>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</si>
  <si>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</si>
  <si>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</si>
  <si>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</si>
  <si>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</si>
  <si>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</si>
  <si>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</si>
  <si>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</si>
  <si>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</si>
  <si>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</si>
  <si>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</si>
  <si>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</si>
  <si>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</si>
  <si>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</si>
  <si>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</si>
  <si>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</si>
  <si>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</si>
  <si>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</si>
  <si>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</si>
  <si>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</si>
  <si>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</si>
  <si>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</si>
  <si>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</si>
  <si>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</si>
  <si>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</si>
  <si>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</si>
  <si>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</si>
  <si>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</si>
  <si>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</si>
  <si>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</si>
  <si>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</si>
  <si>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</si>
  <si>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</si>
  <si>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</si>
  <si>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</si>
  <si>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</si>
  <si>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</si>
  <si>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</si>
  <si>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</si>
  <si>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</si>
  <si>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</si>
  <si>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</si>
  <si>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</si>
  <si>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</si>
  <si>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</si>
  <si>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</si>
  <si>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</si>
  <si>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</si>
  <si>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</si>
  <si>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</si>
  <si>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</si>
  <si>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</si>
  <si>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</si>
  <si>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</si>
  <si>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</si>
  <si>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</si>
  <si>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</si>
  <si>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</si>
  <si>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</si>
  <si>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</si>
  <si>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</si>
  <si>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</si>
  <si>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</si>
  <si>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</si>
  <si>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</si>
  <si>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</si>
  <si>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</si>
  <si>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</si>
  <si>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</si>
  <si>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</si>
  <si>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</si>
  <si>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</si>
  <si>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</si>
  <si>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</si>
  <si>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</si>
  <si>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</si>
  <si>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</si>
  <si>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</si>
  <si>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</si>
  <si>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</si>
  <si>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</si>
  <si>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</si>
  <si>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</si>
  <si>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</si>
  <si>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</si>
  <si>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</si>
  <si>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</si>
  <si>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</si>
  <si>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</si>
  <si>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</si>
  <si>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</si>
  <si>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</si>
  <si>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</si>
  <si>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</si>
  <si>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</si>
  <si>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</si>
  <si>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</si>
  <si>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</si>
  <si>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</si>
  <si>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</si>
  <si>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</si>
  <si>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</si>
  <si>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</si>
  <si>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</si>
  <si>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</si>
  <si>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</si>
  <si>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</si>
  <si>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</si>
  <si>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</si>
  <si>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</si>
  <si>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</si>
  <si>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</si>
  <si>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</si>
  <si>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</si>
  <si>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</si>
  <si>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</si>
  <si>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</si>
  <si>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</si>
  <si>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</si>
  <si>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</si>
  <si>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</si>
  <si>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</si>
  <si>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</si>
  <si>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</si>
  <si>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</si>
  <si>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</si>
  <si>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</si>
  <si>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</si>
  <si>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</si>
  <si>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</si>
  <si>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</si>
  <si>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</si>
  <si>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</si>
  <si>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</si>
  <si>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</si>
  <si>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</si>
  <si>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</si>
  <si>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</si>
  <si>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</si>
  <si>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</si>
  <si>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</si>
  <si>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</si>
  <si>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</si>
  <si>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</si>
  <si>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</si>
  <si>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</si>
  <si>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</si>
  <si>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</si>
  <si>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</si>
  <si>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</si>
  <si>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</si>
  <si>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</si>
  <si>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</si>
  <si>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</si>
  <si>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</si>
  <si>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</si>
  <si>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</si>
  <si>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</si>
  <si>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</si>
  <si>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</si>
  <si>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</si>
  <si>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</si>
  <si>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</si>
  <si>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</si>
  <si>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</si>
  <si>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</si>
  <si>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</si>
  <si>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</si>
  <si>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</si>
  <si>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</si>
  <si>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</si>
  <si>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</si>
  <si>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</si>
  <si>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</si>
  <si>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</si>
  <si>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</si>
  <si>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</si>
  <si>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</si>
  <si>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</si>
  <si>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</si>
  <si>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</si>
  <si>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</si>
  <si>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</si>
  <si>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</si>
  <si>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</si>
  <si>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</si>
  <si>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</si>
  <si>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</si>
  <si>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</si>
  <si>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</si>
  <si>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</si>
  <si>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</si>
  <si>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</si>
  <si>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</si>
  <si>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</si>
  <si>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</si>
  <si>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</si>
  <si>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</si>
  <si>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</si>
  <si>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</si>
  <si>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</si>
  <si>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</si>
  <si>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</si>
  <si>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</si>
  <si>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</si>
  <si>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</si>
  <si>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</si>
  <si>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</si>
  <si>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</si>
  <si>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</si>
  <si>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</si>
  <si>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</si>
  <si>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</si>
  <si>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</si>
  <si>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</si>
  <si>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</si>
  <si>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</si>
  <si>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</si>
  <si>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</si>
  <si>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</si>
  <si>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</si>
  <si>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</si>
  <si>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</si>
  <si>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</si>
  <si>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</si>
  <si>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</si>
  <si>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</si>
  <si>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</si>
  <si>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</si>
  <si>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</si>
  <si>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</si>
  <si>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</si>
  <si>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</si>
  <si>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</si>
  <si>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</si>
  <si>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</si>
  <si>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</si>
  <si>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</si>
  <si>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</si>
  <si>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</si>
  <si>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</si>
  <si>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</si>
  <si>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</si>
  <si>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</si>
  <si>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</si>
  <si>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</si>
  <si>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</si>
  <si>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</si>
  <si>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</si>
  <si>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</si>
  <si>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</si>
  <si>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</si>
  <si>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</si>
  <si>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</si>
  <si>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</si>
  <si>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</si>
  <si>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</si>
  <si>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</si>
  <si>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</si>
  <si>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</si>
  <si>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</si>
  <si>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</si>
  <si>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</si>
  <si>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</si>
  <si>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</si>
  <si>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</si>
  <si>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</si>
  <si>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</si>
  <si>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</si>
  <si>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</si>
  <si>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</si>
  <si>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</si>
  <si>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</si>
  <si>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</si>
  <si>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</si>
  <si>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</si>
  <si>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</si>
  <si>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</si>
  <si>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</si>
  <si>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</si>
  <si>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</si>
  <si>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</si>
  <si>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</si>
  <si>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</si>
  <si>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</si>
  <si>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</si>
  <si>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</si>
  <si>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</si>
  <si>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</si>
  <si>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</si>
  <si>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</si>
  <si>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</si>
  <si>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</si>
  <si>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</si>
  <si>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</si>
  <si>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</si>
  <si>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</si>
  <si>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</si>
  <si>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</si>
  <si>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</si>
  <si>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</si>
  <si>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</si>
  <si>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</si>
  <si>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</si>
  <si>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</si>
  <si>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</si>
  <si>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</si>
  <si>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</si>
  <si>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</si>
  <si>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</si>
  <si>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</si>
  <si>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</si>
  <si>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</si>
  <si>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</si>
  <si>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</si>
  <si>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</si>
  <si>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</si>
  <si>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</si>
  <si>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</si>
  <si>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</si>
  <si>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</si>
  <si>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</si>
  <si>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</si>
  <si>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</si>
  <si>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</si>
  <si>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</si>
  <si>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</si>
  <si>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</si>
  <si>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</si>
  <si>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</si>
  <si>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</si>
  <si>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</si>
  <si>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</si>
  <si>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</si>
  <si>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</si>
  <si>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</si>
  <si>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</si>
  <si>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</si>
  <si>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</si>
  <si>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</si>
  <si>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</si>
  <si>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</si>
  <si>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</si>
  <si>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</si>
  <si>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</si>
  <si>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</si>
  <si>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</si>
  <si>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</si>
  <si>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</si>
  <si>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</si>
  <si>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</si>
  <si>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</si>
  <si>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</si>
  <si>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</si>
  <si>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</si>
  <si>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</si>
  <si>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</si>
  <si>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</si>
  <si>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</si>
  <si>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</si>
  <si>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</si>
  <si>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</si>
  <si>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</si>
  <si>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</si>
  <si>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</si>
  <si>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</si>
  <si>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</si>
  <si>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</si>
  <si>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</si>
  <si>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</si>
  <si>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</si>
  <si>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</si>
  <si>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</si>
  <si>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</si>
  <si>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</si>
  <si>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</si>
  <si>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</si>
  <si>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</si>
  <si>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</si>
  <si>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</si>
  <si>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</si>
  <si>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</si>
  <si>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</si>
  <si>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</si>
  <si>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</si>
  <si>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</si>
  <si>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</si>
  <si>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</si>
  <si>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</si>
  <si>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</si>
  <si>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</si>
  <si>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</si>
  <si>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</si>
  <si>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</si>
  <si>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</si>
  <si>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</si>
  <si>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</si>
  <si>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</si>
  <si>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</si>
  <si>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</si>
  <si>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</si>
  <si>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</si>
  <si>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</si>
  <si>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</si>
  <si>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</si>
  <si>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</si>
  <si>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</si>
  <si>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</si>
  <si>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</si>
  <si>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</si>
  <si>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</si>
  <si>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</si>
  <si>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</si>
  <si>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</si>
  <si>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</si>
  <si>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</si>
  <si>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</si>
  <si>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</si>
  <si>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</si>
  <si>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</si>
  <si>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</si>
  <si>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</si>
  <si>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</si>
  <si>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</si>
  <si>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</si>
  <si>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</si>
  <si>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</si>
  <si>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</si>
  <si>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</si>
  <si>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</si>
  <si>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</si>
  <si>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</si>
  <si>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</si>
  <si>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</si>
  <si>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</si>
  <si>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</si>
  <si>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</si>
  <si>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</si>
  <si>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</si>
  <si>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</si>
  <si>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</si>
  <si>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</si>
  <si>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</si>
  <si>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</si>
  <si>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</si>
  <si>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</si>
  <si>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</si>
  <si>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</si>
  <si>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</si>
  <si>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</si>
  <si>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</si>
  <si>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</si>
  <si>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</si>
  <si>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</si>
  <si>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</si>
  <si>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</si>
  <si>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</si>
  <si>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</si>
  <si>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</si>
  <si>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</si>
  <si>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</si>
  <si>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</si>
  <si>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</si>
  <si>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</si>
  <si>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</si>
  <si>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</si>
  <si>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</si>
  <si>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</si>
  <si>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</si>
  <si>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</si>
  <si>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</si>
  <si>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</si>
  <si>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</si>
  <si>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</si>
  <si>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</si>
  <si>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</si>
  <si>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</si>
  <si>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</si>
  <si>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</si>
  <si>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</si>
  <si>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</si>
  <si>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</si>
  <si>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</si>
  <si>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</si>
  <si>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</si>
  <si>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</si>
  <si>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</si>
  <si>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</si>
  <si>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</si>
  <si>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</si>
  <si>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</si>
  <si>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</si>
  <si>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</si>
  <si>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</si>
  <si>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</si>
  <si>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</si>
  <si>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</si>
  <si>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</si>
  <si>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</si>
  <si>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</si>
  <si>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</si>
  <si>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</si>
  <si>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</si>
  <si>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</si>
  <si>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</si>
  <si>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</si>
  <si>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</si>
  <si>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</si>
  <si>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</si>
  <si>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</si>
  <si>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</si>
  <si>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</si>
  <si>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</si>
  <si>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</si>
  <si>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</si>
  <si>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</si>
  <si>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</si>
  <si>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</si>
  <si>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</si>
  <si>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</si>
  <si>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</si>
  <si>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</si>
  <si>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</si>
  <si>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</si>
  <si>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</si>
  <si>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</si>
  <si>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</si>
  <si>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</si>
  <si>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</si>
  <si>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</si>
  <si>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</si>
  <si>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</si>
  <si>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</si>
  <si>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</si>
  <si>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</si>
  <si>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</si>
  <si>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</si>
  <si>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</si>
  <si>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</si>
  <si>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</si>
  <si>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</si>
  <si>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</si>
  <si>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</si>
  <si>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</si>
  <si>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</si>
  <si>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</si>
  <si>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</si>
  <si>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</si>
  <si>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</si>
  <si>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</si>
  <si>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</si>
  <si>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</si>
  <si>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</si>
  <si>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</si>
  <si>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</si>
  <si>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</si>
  <si>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</si>
  <si>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</si>
  <si>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</si>
  <si>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</si>
  <si>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</si>
  <si>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</si>
  <si>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</si>
  <si>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</si>
  <si>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</si>
  <si>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</si>
  <si>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</si>
  <si>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</si>
  <si>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</si>
  <si>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</si>
  <si>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</si>
  <si>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</si>
  <si>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</si>
  <si>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</si>
  <si>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</si>
  <si>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</si>
  <si>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</si>
  <si>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</si>
  <si>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</si>
  <si>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</si>
  <si>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</si>
  <si>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</si>
  <si>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</si>
  <si>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</si>
  <si>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</si>
  <si>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</si>
  <si>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</si>
  <si>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</si>
  <si>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</si>
  <si>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</si>
  <si>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</si>
  <si>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</si>
  <si>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</si>
  <si>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</si>
  <si>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</si>
  <si>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</si>
  <si>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</si>
  <si>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</si>
  <si>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</si>
  <si>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</si>
  <si>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</si>
  <si>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</si>
  <si>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</si>
  <si>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</si>
  <si>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</si>
  <si>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</si>
  <si>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</si>
  <si>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</si>
  <si>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</si>
  <si>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</si>
  <si>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</si>
  <si>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</si>
  <si>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</si>
  <si>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</si>
  <si>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</si>
  <si>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</si>
  <si>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</si>
  <si>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</si>
  <si>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</si>
  <si>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</si>
  <si>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</si>
  <si>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</si>
  <si>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</si>
  <si>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</si>
  <si>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</si>
  <si>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</si>
  <si>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</si>
  <si>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</si>
  <si>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</si>
  <si>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</si>
  <si>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</si>
  <si>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</si>
  <si>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</si>
  <si>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</si>
  <si>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</si>
  <si>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</si>
  <si>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</si>
  <si>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</si>
  <si>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</si>
  <si>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</si>
  <si>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</si>
  <si>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</si>
  <si>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</si>
  <si>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</si>
  <si>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</si>
  <si>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</si>
  <si>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</si>
  <si>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</si>
  <si>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</si>
  <si>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</si>
  <si>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</si>
  <si>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</si>
  <si>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</si>
  <si>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</si>
  <si>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</si>
  <si>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</si>
  <si>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</si>
  <si>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</si>
  <si>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</si>
  <si>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</si>
  <si>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</si>
  <si>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</si>
  <si>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</si>
  <si>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</si>
  <si>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</si>
  <si>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</si>
  <si>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</si>
  <si>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</si>
  <si>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</si>
  <si>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</si>
  <si>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</si>
  <si>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</si>
  <si>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</si>
  <si>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</si>
  <si>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</si>
  <si>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</si>
  <si>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</si>
  <si>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</si>
  <si>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</si>
  <si>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</si>
  <si>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</si>
  <si>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</si>
  <si>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</si>
  <si>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</si>
  <si>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</si>
  <si>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</si>
  <si>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</si>
  <si>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</si>
  <si>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</si>
  <si>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</si>
  <si>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</si>
  <si>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</si>
  <si>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</si>
  <si>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</si>
  <si>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</si>
  <si>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</si>
  <si>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</si>
  <si>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</si>
  <si>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</si>
  <si>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</si>
  <si>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</si>
  <si>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</si>
  <si>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</si>
  <si>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</si>
  <si>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</si>
  <si>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</si>
  <si>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</si>
  <si>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</si>
  <si>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</si>
  <si>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</si>
  <si>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</si>
  <si>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</si>
  <si>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</si>
  <si>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</si>
  <si>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</si>
  <si>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</si>
  <si>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</si>
  <si>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</si>
  <si>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</si>
  <si>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</si>
  <si>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</si>
  <si>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</si>
  <si>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</si>
  <si>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</si>
  <si>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</si>
  <si>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</si>
  <si>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</si>
  <si>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</si>
  <si>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</si>
  <si>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</si>
  <si>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</si>
  <si>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</si>
  <si>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</si>
  <si>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</si>
  <si>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</si>
  <si>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</si>
  <si>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</si>
  <si>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</si>
  <si>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</si>
  <si>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</si>
  <si>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</si>
  <si>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</si>
  <si>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</si>
  <si>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</si>
  <si>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</si>
  <si>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</si>
  <si>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</si>
  <si>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</si>
  <si>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</si>
  <si>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</si>
  <si>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</si>
  <si>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</si>
  <si>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</si>
  <si>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</si>
  <si>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</si>
  <si>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</si>
  <si>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</si>
  <si>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</si>
  <si>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</si>
  <si>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</si>
  <si>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</si>
  <si>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</si>
  <si>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</si>
  <si>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</si>
  <si>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</si>
  <si>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</si>
  <si>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</si>
  <si>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</si>
  <si>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</si>
  <si>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</si>
  <si>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</si>
  <si>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</si>
  <si>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</si>
  <si>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</si>
  <si>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</si>
  <si>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</si>
  <si>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</si>
  <si>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</si>
  <si>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</si>
  <si>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</si>
  <si>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</si>
  <si>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</si>
  <si>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</si>
  <si>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</si>
  <si>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</si>
  <si>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</si>
  <si>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</si>
  <si>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</si>
  <si>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</si>
  <si>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</si>
  <si>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</si>
  <si>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</si>
  <si>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</si>
  <si>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</si>
  <si>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</si>
  <si>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</si>
  <si>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</si>
  <si>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</si>
  <si>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</si>
  <si>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</si>
  <si>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</si>
  <si>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</si>
  <si>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</si>
  <si>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</si>
  <si>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</si>
  <si>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</si>
  <si>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</si>
  <si>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</si>
  <si>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</si>
  <si>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</si>
  <si>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</si>
  <si>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</si>
  <si>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</si>
  <si>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</si>
  <si>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</si>
  <si>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</si>
  <si>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</si>
  <si>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</si>
  <si>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</si>
  <si>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</si>
  <si>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</si>
  <si>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</si>
  <si>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</si>
  <si>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</si>
  <si>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</si>
  <si>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</si>
  <si>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</si>
  <si>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</si>
  <si>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</si>
  <si>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</si>
  <si>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</si>
  <si>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</si>
  <si>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</si>
  <si>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</si>
  <si>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</si>
  <si>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</si>
  <si>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</si>
  <si>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</si>
  <si>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</si>
  <si>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</si>
  <si>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</si>
  <si>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</si>
  <si>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</si>
  <si>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</si>
  <si>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</si>
  <si>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</si>
  <si>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</si>
  <si>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</si>
  <si>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</si>
  <si>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</si>
  <si>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</si>
  <si>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</si>
  <si>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</si>
  <si>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</si>
  <si>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</si>
  <si>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</si>
  <si>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</si>
  <si>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</si>
  <si>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</si>
  <si>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</si>
  <si>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</si>
  <si>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</si>
  <si>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</si>
  <si>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</si>
  <si>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</si>
  <si>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</si>
  <si>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</si>
  <si>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</si>
  <si>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</si>
  <si>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</si>
  <si>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</si>
  <si>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</si>
  <si>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</si>
  <si>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</si>
  <si>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</si>
  <si>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</si>
  <si>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</si>
  <si>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</si>
  <si>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</si>
  <si>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</si>
  <si>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</si>
  <si>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</si>
  <si>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</si>
  <si>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</si>
  <si>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</si>
  <si>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</si>
  <si>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</si>
  <si>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</si>
  <si>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</si>
  <si>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</si>
  <si>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</si>
  <si>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</si>
  <si>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</si>
  <si>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</si>
  <si>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</si>
  <si>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</si>
  <si>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</si>
  <si>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</si>
  <si>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</si>
  <si>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</si>
  <si>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</si>
  <si>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</si>
  <si>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</si>
  <si>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</si>
  <si>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</si>
  <si>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</si>
  <si>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</si>
  <si>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</si>
  <si>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</si>
  <si>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</si>
  <si>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</si>
  <si>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</si>
  <si>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</si>
  <si>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</si>
  <si>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</si>
  <si>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</si>
  <si>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</si>
  <si>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</si>
  <si>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</si>
  <si>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</si>
  <si>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</si>
  <si>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</si>
  <si>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</si>
  <si>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</si>
  <si>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</si>
  <si>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</si>
  <si>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</si>
  <si>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</si>
  <si>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</si>
  <si>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</si>
  <si>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</si>
  <si>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</si>
  <si>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</si>
  <si>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</si>
  <si>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</si>
  <si>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</si>
  <si>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</si>
  <si>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</si>
  <si>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</si>
  <si>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</si>
  <si>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</si>
  <si>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</si>
  <si>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</si>
  <si>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</si>
  <si>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</si>
  <si>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</si>
  <si>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</si>
  <si>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</si>
  <si>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</si>
  <si>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</si>
  <si>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</si>
  <si>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</si>
  <si>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</si>
  <si>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</si>
  <si>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</si>
  <si>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</si>
  <si>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</si>
  <si>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</si>
  <si>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</si>
  <si>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</si>
  <si>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</si>
  <si>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</si>
  <si>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</si>
  <si>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</si>
  <si>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</si>
  <si>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</si>
  <si>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</si>
  <si>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</si>
  <si>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</si>
  <si>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</si>
  <si>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</si>
  <si>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</si>
  <si>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</si>
  <si>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</si>
  <si>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</si>
  <si>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</si>
  <si>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</si>
  <si>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</si>
  <si>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</si>
  <si>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</si>
  <si>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</si>
  <si>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</si>
  <si>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</si>
  <si>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</si>
  <si>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</si>
  <si>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</si>
  <si>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</si>
  <si>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</si>
  <si>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</si>
  <si>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</si>
  <si>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</si>
  <si>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</si>
  <si>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</si>
  <si>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</si>
  <si>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</si>
  <si>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</si>
  <si>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</si>
  <si>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</si>
  <si>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</si>
  <si>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</si>
  <si>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</si>
  <si>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</si>
  <si>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</si>
  <si>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</si>
  <si>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</si>
  <si>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</si>
  <si>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</si>
  <si>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</si>
  <si>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</si>
  <si>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</si>
  <si>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</si>
  <si>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</si>
  <si>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</si>
  <si>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</si>
  <si>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</si>
  <si>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</si>
  <si>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</si>
  <si>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</si>
  <si>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</si>
  <si>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</si>
  <si>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</si>
  <si>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</si>
  <si>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</si>
  <si>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</si>
  <si>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</si>
  <si>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</si>
  <si>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</si>
  <si>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</si>
  <si>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</si>
  <si>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</si>
  <si>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</si>
  <si>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</si>
  <si>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</si>
  <si>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</si>
  <si>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</si>
  <si>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</si>
  <si>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</si>
  <si>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</si>
  <si>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</si>
  <si>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</si>
  <si>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</si>
  <si>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</si>
  <si>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</si>
  <si>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</si>
  <si>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</si>
  <si>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</si>
  <si>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</si>
  <si>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</si>
  <si>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</si>
  <si>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</si>
  <si>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</si>
  <si>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</si>
  <si>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</si>
  <si>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</si>
  <si>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</si>
  <si>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</si>
  <si>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</si>
  <si>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</si>
  <si>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</si>
  <si>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</si>
  <si>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</si>
  <si>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</si>
  <si>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</si>
  <si>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</si>
  <si>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</si>
  <si>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</si>
  <si>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</si>
  <si>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</si>
  <si>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</si>
  <si>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</si>
  <si>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</si>
  <si>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</si>
  <si>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</si>
  <si>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</si>
  <si>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</si>
  <si>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</si>
  <si>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</si>
  <si>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</si>
  <si>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</si>
  <si>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</si>
  <si>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</si>
  <si>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</si>
  <si>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</si>
  <si>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</si>
  <si>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</si>
  <si>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</si>
  <si>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</si>
  <si>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</si>
  <si>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</si>
  <si>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</si>
  <si>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</si>
  <si>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</si>
  <si>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</si>
  <si>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</si>
  <si>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</si>
  <si>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</si>
  <si>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</si>
  <si>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</si>
  <si>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</si>
  <si>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</si>
  <si>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</si>
  <si>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</si>
  <si>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</si>
  <si>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</si>
  <si>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</si>
  <si>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</si>
  <si>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</si>
  <si>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</si>
  <si>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</si>
  <si>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</si>
  <si>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</si>
  <si>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</si>
  <si>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</si>
  <si>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</si>
  <si>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</si>
  <si>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</si>
  <si>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</si>
  <si>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</si>
  <si>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</si>
  <si>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</si>
  <si>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</si>
  <si>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</si>
  <si>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</si>
  <si>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</si>
  <si>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</si>
  <si>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</si>
  <si>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</si>
  <si>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</si>
  <si>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</si>
  <si>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</si>
  <si>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</si>
  <si>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</si>
  <si>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</si>
  <si>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</si>
  <si>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</si>
  <si>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</si>
  <si>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</si>
  <si>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</si>
  <si>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</si>
  <si>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</si>
  <si>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</si>
  <si>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</si>
  <si>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</si>
  <si>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</si>
  <si>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</si>
  <si>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</si>
  <si>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</si>
  <si>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</si>
  <si>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</si>
  <si>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</si>
  <si>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</si>
  <si>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</si>
  <si>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</si>
  <si>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</si>
  <si>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</si>
  <si>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</si>
  <si>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</si>
  <si>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</si>
  <si>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</si>
  <si>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</si>
  <si>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</si>
  <si>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</si>
  <si>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</si>
  <si>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</si>
  <si>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</si>
  <si>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</si>
  <si>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</si>
  <si>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</si>
  <si>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</si>
  <si>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</si>
  <si>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</si>
  <si>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</si>
  <si>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</si>
  <si>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</si>
  <si>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</si>
  <si>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</si>
  <si>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</si>
  <si>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</si>
  <si>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</si>
  <si>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</si>
  <si>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</si>
  <si>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</si>
  <si>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</si>
  <si>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</si>
  <si>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</si>
  <si>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</si>
  <si>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</si>
  <si>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</si>
  <si>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</si>
  <si>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</si>
  <si>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</si>
  <si>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</si>
  <si>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</si>
  <si>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</si>
  <si>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</si>
  <si>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</si>
  <si>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</si>
  <si>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</si>
  <si>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</si>
  <si>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</si>
  <si>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</si>
  <si>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</si>
  <si>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</si>
  <si>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</si>
  <si>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</si>
  <si>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</si>
  <si>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</si>
  <si>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</si>
  <si>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</si>
  <si>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</si>
  <si>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</si>
  <si>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</si>
  <si>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</si>
  <si>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</si>
  <si>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</si>
  <si>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</si>
  <si>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</si>
  <si>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</si>
  <si>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</si>
  <si>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</si>
  <si>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</si>
  <si>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</si>
  <si>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</si>
  <si>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</si>
  <si>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</si>
  <si>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</si>
  <si>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</si>
  <si>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</si>
  <si>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</si>
  <si>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</si>
  <si>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</si>
  <si>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</si>
  <si>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</si>
  <si>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</si>
  <si>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</si>
  <si>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</si>
  <si>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</si>
  <si>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</si>
  <si>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</si>
  <si>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</si>
  <si>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</si>
  <si>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</si>
  <si>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</si>
  <si>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</si>
  <si>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</si>
  <si>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</si>
  <si>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</si>
  <si>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</si>
  <si>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</si>
  <si>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</si>
  <si>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</si>
  <si>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</si>
  <si>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</si>
  <si>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</si>
  <si>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</si>
  <si>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</si>
  <si>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</si>
  <si>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</si>
  <si>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</si>
  <si>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</si>
  <si>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</si>
  <si>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</si>
  <si>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</si>
  <si>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</si>
  <si>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</si>
  <si>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</si>
  <si>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</si>
  <si>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</si>
  <si>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</si>
  <si>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</si>
  <si>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</si>
  <si>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</si>
  <si>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</si>
  <si>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</si>
  <si>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</si>
  <si>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</si>
  <si>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</si>
  <si>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</si>
  <si>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</si>
  <si>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</si>
  <si>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</si>
  <si>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</si>
  <si>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</si>
  <si>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</si>
  <si>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</si>
  <si>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</si>
  <si>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</si>
  <si>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</si>
  <si>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</si>
  <si>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</si>
  <si>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</si>
  <si>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</si>
  <si>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</si>
  <si>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</si>
  <si>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</si>
  <si>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</si>
  <si>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</si>
  <si>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</si>
  <si>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</si>
  <si>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</si>
  <si>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</si>
  <si>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</si>
  <si>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</si>
  <si>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</si>
  <si>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</si>
  <si>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</si>
  <si>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</si>
  <si>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</si>
  <si>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</si>
  <si>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</si>
  <si>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</si>
  <si>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</si>
  <si>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</si>
  <si>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</si>
  <si>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</si>
  <si>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</si>
  <si>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</si>
  <si>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</si>
  <si>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</si>
  <si>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</si>
  <si>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</si>
  <si>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</si>
  <si>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</si>
  <si>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</si>
  <si>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</si>
  <si>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</si>
  <si>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</si>
  <si>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</si>
  <si>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</si>
  <si>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</si>
  <si>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</si>
  <si>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</si>
  <si>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</si>
  <si>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</si>
  <si>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</si>
  <si>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</si>
  <si>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</si>
  <si>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</si>
  <si>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</si>
  <si>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</si>
  <si>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</si>
  <si>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</si>
  <si>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</si>
  <si>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</si>
  <si>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</si>
  <si>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</si>
  <si>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</si>
  <si>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</si>
  <si>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</si>
  <si>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</si>
  <si>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</si>
  <si>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</si>
  <si>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</si>
  <si>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</si>
  <si>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</si>
  <si>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</si>
  <si>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</si>
  <si>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</si>
  <si>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</si>
  <si>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</si>
  <si>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</si>
  <si>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</si>
  <si>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</si>
  <si>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</si>
  <si>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</si>
  <si>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</si>
  <si>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</si>
  <si>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</si>
  <si>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</si>
  <si>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</si>
  <si>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</si>
  <si>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</si>
  <si>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</si>
  <si>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</si>
  <si>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</si>
  <si>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</si>
  <si>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</si>
  <si>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</si>
  <si>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</si>
  <si>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</si>
  <si>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</si>
  <si>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</si>
  <si>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</si>
  <si>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</si>
  <si>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</si>
  <si>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</si>
  <si>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</si>
  <si>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</si>
  <si>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</si>
  <si>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</si>
  <si>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</si>
  <si>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</si>
  <si>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</si>
  <si>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</si>
  <si>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</si>
  <si>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</si>
  <si>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</si>
  <si>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</si>
  <si>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</si>
  <si>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</si>
  <si>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</si>
  <si>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</si>
  <si>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</si>
  <si>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</si>
  <si>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</si>
  <si>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</si>
  <si>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</si>
  <si>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</si>
  <si>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</si>
  <si>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</si>
  <si>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</si>
  <si>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</si>
  <si>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</si>
  <si>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</si>
  <si>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</si>
  <si>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</si>
  <si>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</si>
  <si>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</si>
  <si>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</si>
  <si>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</si>
  <si>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</si>
  <si>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</si>
  <si>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</si>
  <si>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</si>
  <si>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</si>
  <si>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</si>
  <si>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</si>
  <si>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</si>
  <si>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</si>
  <si>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</si>
  <si>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</si>
  <si>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</si>
  <si>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</si>
  <si>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</si>
  <si>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</si>
  <si>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</si>
  <si>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</si>
  <si>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</si>
  <si>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</si>
  <si>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</si>
  <si>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</si>
  <si>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</si>
  <si>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</si>
  <si>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</si>
  <si>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</si>
  <si>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</si>
  <si>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</si>
  <si>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</si>
  <si>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</si>
  <si>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</si>
  <si>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</si>
  <si>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</si>
  <si>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</si>
  <si>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</si>
  <si>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</si>
  <si>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</si>
  <si>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</si>
  <si>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</si>
  <si>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</si>
  <si>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</si>
  <si>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</si>
  <si>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</si>
  <si>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</si>
  <si>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</si>
  <si>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</si>
  <si>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</si>
  <si>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</si>
  <si>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</si>
  <si>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</si>
  <si>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</si>
  <si>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</si>
  <si>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</si>
  <si>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</si>
  <si>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</si>
  <si>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</si>
  <si>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</si>
  <si>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</si>
  <si>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</si>
  <si>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</si>
  <si>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</si>
  <si>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</si>
  <si>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</si>
  <si>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</si>
  <si>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</si>
  <si>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</si>
  <si>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</si>
  <si>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</si>
  <si>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</si>
  <si>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</si>
  <si>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</si>
  <si>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</si>
  <si>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</si>
  <si>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</si>
  <si>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</si>
  <si>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</si>
  <si>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</si>
  <si>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</si>
  <si>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</si>
  <si>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</si>
  <si>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</si>
  <si>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</si>
  <si>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</si>
  <si>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</si>
  <si>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</si>
  <si>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</si>
  <si>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</si>
  <si>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</si>
  <si>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</si>
  <si>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</si>
  <si>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</si>
  <si>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</si>
  <si>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</si>
  <si>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</si>
  <si>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</si>
  <si>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</si>
  <si>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</si>
  <si>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</si>
  <si>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</si>
  <si>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</si>
  <si>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</si>
  <si>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</si>
  <si>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</si>
  <si>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</si>
  <si>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</si>
  <si>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</si>
  <si>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</si>
  <si>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</si>
  <si>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</si>
  <si>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</si>
  <si>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</si>
  <si>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</si>
  <si>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</si>
  <si>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</si>
  <si>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</si>
  <si>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</si>
  <si>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</si>
  <si>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</si>
  <si>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</si>
  <si>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</si>
  <si>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</si>
  <si>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</si>
  <si>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</si>
  <si>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</si>
  <si>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</si>
  <si>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</si>
  <si>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</si>
  <si>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</si>
  <si>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</si>
  <si>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</si>
  <si>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</si>
  <si>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</si>
  <si>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</si>
  <si>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</si>
  <si>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</si>
  <si>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</si>
  <si>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</si>
  <si>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</si>
  <si>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</si>
  <si>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</si>
  <si>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</si>
  <si>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</si>
  <si>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</si>
  <si>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</si>
  <si>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</si>
  <si>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</si>
  <si>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</si>
  <si>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</si>
  <si>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</si>
  <si>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</si>
  <si>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</si>
  <si>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</si>
  <si>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</si>
  <si>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</si>
  <si>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</si>
  <si>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</si>
  <si>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</si>
  <si>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</si>
  <si>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</si>
  <si>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</si>
  <si>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</si>
  <si>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</si>
  <si>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</si>
  <si>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</si>
  <si>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</si>
  <si>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</si>
  <si>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</si>
  <si>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</si>
  <si>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</si>
  <si>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</si>
  <si>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</si>
  <si>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</si>
  <si>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</si>
  <si>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</si>
  <si>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</si>
  <si>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</si>
  <si>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</si>
  <si>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</si>
  <si>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</si>
  <si>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</si>
  <si>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</si>
  <si>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</si>
  <si>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</si>
  <si>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</si>
  <si>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</si>
  <si>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</si>
  <si>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</si>
  <si>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</si>
  <si>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</si>
  <si>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</si>
  <si>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</si>
  <si>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</si>
  <si>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</si>
  <si>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</si>
  <si>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</si>
  <si>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</si>
  <si>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</si>
  <si>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</si>
  <si>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</si>
  <si>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</si>
  <si>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</si>
  <si>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</si>
  <si>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</si>
  <si>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</si>
  <si>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</si>
  <si>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</si>
  <si>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</si>
  <si>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</si>
  <si>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</si>
  <si>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</si>
  <si>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</si>
  <si>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</si>
  <si>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</si>
  <si>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</si>
  <si>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</si>
  <si>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</si>
  <si>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</si>
  <si>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</si>
  <si>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</si>
  <si>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</si>
  <si>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</si>
  <si>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</si>
  <si>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</si>
  <si>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</si>
  <si>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</si>
  <si>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</si>
  <si>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</si>
  <si>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</si>
  <si>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</si>
  <si>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</si>
  <si>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</si>
  <si>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</si>
  <si>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</si>
  <si>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</si>
  <si>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</si>
  <si>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</si>
  <si>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</si>
  <si>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</si>
  <si>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</si>
  <si>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</si>
  <si>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</si>
  <si>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</si>
  <si>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</si>
  <si>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</si>
  <si>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</si>
  <si>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</si>
  <si>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</si>
  <si>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</si>
  <si>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</si>
  <si>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</si>
  <si>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</si>
  <si>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</si>
  <si>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</si>
  <si>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</si>
  <si>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</si>
  <si>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</si>
  <si>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</si>
  <si>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</si>
  <si>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</si>
  <si>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</si>
  <si>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</si>
  <si>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</si>
  <si>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</si>
  <si>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</si>
  <si>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</si>
  <si>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</si>
  <si>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</si>
  <si>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</si>
  <si>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</si>
  <si>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</si>
  <si>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</si>
  <si>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</si>
  <si>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</si>
  <si>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</si>
  <si>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</si>
  <si>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</si>
  <si>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</si>
  <si>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</si>
  <si>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</si>
  <si>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</si>
  <si>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</si>
  <si>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</si>
  <si>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</si>
  <si>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</si>
  <si>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</si>
  <si>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</si>
  <si>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</si>
  <si>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</si>
  <si>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</si>
  <si>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</si>
  <si>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</si>
  <si>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</si>
  <si>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</si>
  <si>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</si>
  <si>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</si>
  <si>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</si>
  <si>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</si>
  <si>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</si>
  <si>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</si>
  <si>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</si>
  <si>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</si>
  <si>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</si>
  <si>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</si>
  <si>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</si>
  <si>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</si>
  <si>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</si>
  <si>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</si>
  <si>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</si>
  <si>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</si>
  <si>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</si>
  <si>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</si>
  <si>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</si>
  <si>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</si>
  <si>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</si>
  <si>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</si>
  <si>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</si>
  <si>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</si>
  <si>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</si>
  <si>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</si>
  <si>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</si>
  <si>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</si>
  <si>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</si>
  <si>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</si>
  <si>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</si>
  <si>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</si>
  <si>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</si>
  <si>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</si>
  <si>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</si>
  <si>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</si>
  <si>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</si>
  <si>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</si>
  <si>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</si>
  <si>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</si>
  <si>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</si>
  <si>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</si>
  <si>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</si>
  <si>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</si>
  <si>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</si>
  <si>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</si>
  <si>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</si>
  <si>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</si>
  <si>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</si>
  <si>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</si>
  <si>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</si>
  <si>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</si>
  <si>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</si>
  <si>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</si>
  <si>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</si>
  <si>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</si>
  <si>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</si>
  <si>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</si>
  <si>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</si>
  <si>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</si>
  <si>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</si>
  <si>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</si>
  <si>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</si>
  <si>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</si>
  <si>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</si>
  <si>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</si>
  <si>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</si>
  <si>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</si>
  <si>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</si>
  <si>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</si>
  <si>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</si>
  <si>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</si>
  <si>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</si>
  <si>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</si>
  <si>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</si>
  <si>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</si>
  <si>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</si>
  <si>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</si>
  <si>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</si>
  <si>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</si>
  <si>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</si>
  <si>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</si>
  <si>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</si>
  <si>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</si>
  <si>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</si>
  <si>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</si>
  <si>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</si>
  <si>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</si>
  <si>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</si>
  <si>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</si>
  <si>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</si>
  <si>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</si>
  <si>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</si>
  <si>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</si>
  <si>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</si>
  <si>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</si>
  <si>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</si>
  <si>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</si>
  <si>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</si>
  <si>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</si>
  <si>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</si>
  <si>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</si>
  <si>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</si>
  <si>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</si>
  <si>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</si>
  <si>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</si>
  <si>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</si>
  <si>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</si>
  <si>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</si>
  <si>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</si>
  <si>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</si>
  <si>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</si>
  <si>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</si>
  <si>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</si>
  <si>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</si>
  <si>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</si>
  <si>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</si>
  <si>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</si>
  <si>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</si>
  <si>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</si>
  <si>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</si>
  <si>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</si>
  <si>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</si>
  <si>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</si>
  <si>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</si>
  <si>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</si>
  <si>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</si>
  <si>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</si>
  <si>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</si>
  <si>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</si>
  <si>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</si>
  <si>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</si>
  <si>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</si>
  <si>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</si>
  <si>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</si>
  <si>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</si>
  <si>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</si>
  <si>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</si>
  <si>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</si>
  <si>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</si>
  <si>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</si>
  <si>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</si>
  <si>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</si>
  <si>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</si>
  <si>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</si>
  <si>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</si>
  <si>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</si>
  <si>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</si>
  <si>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</si>
  <si>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</si>
  <si>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</si>
  <si>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</si>
  <si>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</si>
  <si>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</si>
  <si>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</si>
  <si>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</si>
  <si>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</si>
  <si>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</si>
  <si>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</si>
  <si>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</si>
  <si>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</si>
  <si>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</si>
  <si>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</si>
  <si>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</si>
  <si>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</si>
  <si>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</si>
  <si>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</si>
  <si>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</si>
  <si>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</si>
  <si>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</si>
  <si>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</si>
  <si>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</si>
  <si>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</si>
  <si>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</si>
  <si>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</si>
  <si>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</si>
  <si>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</si>
  <si>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</si>
  <si>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</si>
  <si>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</si>
  <si>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</si>
  <si>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</si>
  <si>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</si>
  <si>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</si>
  <si>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</si>
  <si>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</si>
  <si>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</si>
  <si>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</si>
  <si>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</si>
  <si>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</si>
  <si>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</si>
  <si>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</si>
  <si>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</si>
  <si>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</si>
  <si>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</si>
  <si>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</si>
  <si>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</si>
  <si>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</si>
  <si>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</si>
  <si>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</si>
  <si>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</si>
  <si>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</si>
  <si>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</si>
  <si>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</si>
  <si>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</si>
  <si>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</si>
  <si>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</si>
  <si>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</si>
  <si>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</si>
  <si>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</si>
  <si>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</si>
  <si>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</si>
  <si>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</si>
  <si>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</si>
  <si>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</si>
  <si>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</si>
  <si>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</si>
  <si>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</si>
  <si>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</si>
  <si>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</si>
  <si>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</si>
  <si>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</si>
  <si>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</si>
  <si>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</si>
  <si>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</si>
  <si>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</si>
  <si>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</si>
  <si>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</si>
  <si>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</si>
  <si>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</si>
  <si>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</si>
  <si>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</si>
  <si>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</si>
  <si>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</si>
  <si>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</si>
  <si>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</si>
  <si>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</si>
  <si>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</si>
  <si>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</si>
  <si>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</si>
  <si>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</si>
  <si>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</si>
  <si>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</si>
  <si>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</si>
  <si>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</si>
  <si>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</si>
  <si>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</si>
  <si>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</si>
  <si>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</si>
  <si>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</si>
  <si>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</si>
  <si>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</si>
  <si>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</si>
  <si>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</si>
  <si>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</si>
  <si>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</si>
  <si>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</si>
  <si>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</si>
  <si>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</si>
  <si>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</si>
  <si>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</si>
  <si>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</si>
  <si>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</si>
  <si>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</si>
  <si>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</si>
  <si>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</si>
  <si>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</si>
  <si>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</si>
  <si>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</si>
  <si>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</si>
  <si>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</si>
  <si>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</si>
  <si>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</si>
  <si>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</si>
  <si>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</si>
  <si>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</si>
  <si>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</si>
  <si>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</si>
  <si>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</si>
  <si>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</si>
  <si>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</si>
  <si>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</si>
  <si>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</si>
  <si>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</si>
  <si>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</si>
  <si>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</si>
  <si>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</si>
  <si>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</si>
  <si>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</si>
  <si>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</si>
  <si>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</si>
  <si>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</si>
  <si>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</si>
  <si>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</si>
  <si>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</si>
  <si>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</si>
  <si>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</si>
  <si>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</si>
  <si>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</si>
  <si>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</si>
  <si>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</si>
  <si>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</si>
  <si>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</si>
  <si>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</si>
  <si>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</si>
  <si>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</si>
  <si>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</si>
  <si>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</si>
  <si>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</si>
  <si>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</si>
  <si>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</si>
  <si>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</si>
  <si>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</si>
  <si>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</si>
  <si>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</si>
  <si>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</si>
  <si>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</si>
  <si>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</si>
  <si>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</si>
  <si>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</si>
  <si>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</si>
  <si>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</si>
  <si>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</si>
  <si>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</si>
  <si>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</si>
  <si>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</si>
  <si>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</si>
  <si>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</si>
  <si>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</si>
  <si>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</si>
  <si>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</si>
  <si>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</si>
  <si>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</si>
  <si>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</si>
  <si>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</si>
  <si>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</si>
  <si>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</si>
  <si>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</si>
  <si>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</si>
  <si>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</si>
  <si>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</si>
  <si>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</si>
  <si>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</si>
  <si>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</si>
  <si>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</si>
  <si>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</si>
  <si>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</si>
  <si>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</si>
  <si>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</si>
  <si>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</si>
  <si>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</si>
  <si>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</si>
  <si>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</si>
  <si>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</si>
  <si>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</si>
  <si>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</si>
  <si>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</si>
  <si>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</si>
  <si>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</si>
  <si>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</si>
  <si>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</si>
  <si>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</si>
  <si>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</si>
  <si>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</si>
  <si>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</si>
  <si>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</si>
  <si>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</si>
  <si>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</si>
  <si>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</si>
  <si>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</si>
  <si>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</si>
  <si>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</si>
  <si>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</si>
  <si>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</si>
  <si>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</si>
  <si>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</si>
  <si>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</si>
  <si>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</si>
  <si>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</si>
  <si>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</si>
  <si>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</si>
  <si>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</si>
  <si>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</si>
  <si>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</si>
  <si>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</si>
  <si>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</si>
  <si>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</si>
  <si>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</si>
  <si>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</si>
  <si>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</si>
  <si>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</si>
  <si>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</si>
  <si>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</si>
  <si>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</si>
  <si>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</si>
  <si>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</si>
  <si>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</si>
  <si>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</si>
  <si>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</si>
  <si>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</si>
  <si>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</si>
  <si>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</si>
  <si>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</si>
  <si>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</si>
  <si>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</si>
  <si>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</si>
  <si>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</si>
  <si>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</si>
  <si>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</si>
  <si>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</si>
  <si>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</si>
  <si>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</si>
  <si>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</si>
  <si>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</si>
  <si>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</si>
  <si>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</si>
  <si>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</si>
  <si>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</si>
  <si>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</si>
  <si>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</si>
  <si>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</si>
  <si>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</si>
  <si>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</si>
  <si>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</si>
  <si>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</si>
  <si>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</si>
  <si>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</si>
  <si>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</si>
  <si>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</si>
  <si>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</si>
  <si>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</si>
  <si>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</si>
  <si>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</si>
  <si>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</si>
  <si>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</si>
  <si>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</si>
  <si>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</si>
  <si>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</si>
  <si>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</si>
  <si>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</si>
  <si>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</si>
  <si>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</si>
  <si>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</si>
  <si>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</si>
  <si>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</si>
  <si>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</si>
  <si>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</si>
  <si>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</si>
  <si>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</si>
  <si>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</si>
  <si>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</si>
  <si>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</si>
  <si>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</si>
  <si>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</si>
  <si>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</si>
  <si>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</si>
  <si>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</si>
  <si>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</si>
  <si>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</si>
  <si>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</si>
  <si>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</si>
  <si>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</si>
  <si>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</si>
  <si>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</si>
  <si>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</si>
  <si>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</si>
  <si>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</si>
  <si>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</si>
  <si>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</si>
  <si>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</si>
  <si>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</si>
  <si>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</si>
  <si>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</si>
  <si>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</si>
  <si>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</si>
  <si>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</si>
  <si>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</si>
  <si>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</si>
  <si>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</si>
  <si>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</si>
  <si>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</si>
  <si>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</si>
  <si>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</si>
  <si>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</si>
  <si>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</si>
  <si>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</si>
  <si>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</si>
  <si>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</si>
  <si>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</si>
  <si>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</si>
  <si>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</si>
  <si>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</si>
  <si>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</si>
  <si>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</si>
  <si>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</si>
  <si>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</si>
  <si>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</si>
  <si>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</si>
  <si>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</si>
  <si>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</si>
  <si>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</si>
  <si>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</si>
  <si>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</si>
  <si>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</si>
  <si>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</si>
  <si>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</si>
  <si>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</si>
  <si>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</si>
  <si>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</si>
  <si>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</si>
  <si>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</si>
  <si>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</si>
  <si>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</si>
  <si>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</si>
  <si>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</si>
  <si>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</si>
  <si>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</si>
  <si>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</si>
  <si>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</si>
  <si>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</si>
  <si>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</si>
  <si>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</si>
  <si>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</si>
  <si>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</si>
  <si>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</si>
  <si>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</si>
  <si>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</si>
  <si>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</si>
  <si>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</si>
  <si>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</si>
  <si>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</si>
  <si>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</si>
  <si>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</si>
  <si>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</si>
  <si>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</si>
  <si>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</si>
  <si>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</si>
  <si>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</si>
  <si>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</si>
  <si>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</si>
  <si>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</si>
  <si>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</si>
  <si>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</si>
  <si>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</si>
  <si>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</si>
  <si>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</si>
  <si>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</si>
  <si>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</si>
  <si>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</si>
  <si>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</si>
  <si>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</si>
  <si>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</si>
  <si>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</si>
  <si>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</si>
  <si>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</si>
  <si>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</si>
  <si>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</si>
  <si>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</si>
  <si>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</si>
  <si>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</si>
  <si>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</si>
  <si>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</si>
  <si>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</si>
  <si>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</si>
  <si>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</si>
  <si>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</si>
  <si>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</si>
  <si>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</si>
  <si>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</si>
  <si>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</si>
  <si>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</si>
  <si>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</si>
  <si>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</si>
  <si>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</si>
  <si>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</si>
  <si>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</si>
  <si>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</si>
  <si>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</si>
  <si>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</si>
  <si>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</si>
  <si>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</si>
  <si>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</si>
  <si>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</si>
  <si>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</si>
  <si>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</si>
  <si>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</si>
  <si>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</si>
  <si>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</si>
  <si>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</si>
  <si>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</si>
  <si>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</si>
  <si>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</si>
  <si>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</si>
  <si>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</si>
  <si>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</si>
  <si>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</si>
  <si>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</si>
  <si>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</si>
  <si>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</si>
  <si>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</si>
  <si>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</si>
  <si>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</si>
  <si>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</si>
  <si>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</si>
  <si>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</si>
  <si>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</si>
  <si>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</si>
  <si>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</si>
  <si>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</si>
  <si>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</si>
  <si>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</si>
  <si>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</si>
  <si>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</si>
  <si>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</si>
  <si>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</si>
  <si>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</si>
  <si>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</si>
  <si>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</si>
  <si>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</si>
  <si>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</si>
  <si>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</si>
  <si>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</si>
  <si>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</si>
  <si>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</si>
  <si>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</si>
  <si>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</si>
  <si>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</si>
  <si>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</si>
  <si>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</si>
  <si>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</si>
  <si>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</si>
  <si>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</si>
  <si>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</si>
  <si>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</si>
  <si>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</si>
  <si>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</si>
  <si>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</si>
  <si>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</si>
  <si>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</si>
  <si>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</si>
  <si>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</si>
  <si>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</si>
  <si>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</si>
  <si>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</si>
  <si>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</si>
  <si>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</si>
  <si>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</si>
  <si>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</si>
  <si>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</si>
  <si>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</si>
  <si>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</si>
  <si>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</si>
  <si>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</si>
  <si>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</si>
  <si>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</si>
  <si>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</si>
  <si>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</si>
  <si>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</si>
  <si>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</si>
  <si>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</si>
  <si>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</si>
  <si>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</si>
  <si>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</si>
  <si>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</si>
  <si>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</si>
  <si>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</si>
  <si>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</si>
  <si>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</si>
  <si>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</si>
  <si>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</si>
  <si>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</si>
  <si>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</si>
  <si>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</si>
  <si>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</si>
  <si>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</si>
  <si>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</si>
  <si>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</si>
  <si>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</si>
  <si>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</si>
  <si>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</si>
  <si>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</si>
  <si>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</si>
  <si>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</si>
  <si>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</si>
  <si>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</si>
  <si>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</si>
  <si>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</si>
  <si>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</si>
  <si>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</si>
  <si>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</si>
  <si>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</si>
  <si>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</si>
  <si>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</si>
  <si>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</si>
  <si>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</si>
  <si>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</si>
  <si>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</si>
  <si>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</si>
  <si>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</si>
  <si>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</si>
  <si>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</si>
  <si>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</si>
  <si>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</si>
  <si>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</si>
  <si>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</si>
  <si>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</si>
  <si>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</si>
  <si>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</si>
  <si>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</si>
  <si>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</si>
  <si>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</si>
  <si>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</si>
  <si>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</si>
  <si>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</si>
  <si>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</si>
  <si>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</si>
  <si>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</si>
  <si>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</si>
  <si>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</si>
  <si>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</si>
  <si>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</si>
  <si>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</si>
  <si>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</si>
  <si>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</si>
  <si>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</si>
  <si>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</si>
  <si>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</si>
  <si>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</si>
  <si>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</si>
  <si>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</si>
  <si>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</si>
  <si>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</si>
  <si>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</si>
  <si>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</si>
  <si>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</si>
  <si>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</si>
  <si>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</si>
  <si>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</si>
  <si>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</si>
  <si>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</si>
  <si>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</si>
  <si>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</si>
  <si>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</si>
  <si>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</si>
  <si>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</si>
  <si>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</si>
  <si>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</si>
  <si>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</si>
  <si>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</si>
  <si>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</si>
  <si>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</si>
  <si>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</si>
  <si>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</si>
  <si>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</si>
  <si>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</si>
  <si>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</si>
  <si>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</si>
  <si>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</si>
  <si>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</si>
  <si>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</si>
  <si>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</si>
  <si>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</si>
  <si>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</si>
  <si>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</si>
  <si>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</si>
  <si>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</si>
  <si>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</si>
  <si>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</si>
  <si>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</si>
  <si>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</si>
  <si>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</si>
  <si>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</si>
  <si>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</si>
  <si>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</si>
  <si>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</si>
  <si>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</si>
  <si>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</si>
  <si>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</si>
  <si>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</si>
  <si>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</si>
  <si>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</si>
  <si>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</si>
  <si>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</si>
  <si>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</si>
  <si>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</si>
  <si>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</si>
  <si>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</si>
  <si>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</si>
  <si>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</si>
  <si>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</si>
  <si>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</si>
  <si>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</si>
  <si>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</si>
  <si>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</si>
  <si>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</si>
  <si>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</si>
  <si>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</si>
  <si>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</si>
  <si>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</si>
  <si>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</si>
  <si>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</si>
  <si>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</si>
  <si>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</si>
  <si>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</si>
  <si>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</si>
  <si>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</si>
  <si>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</si>
  <si>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</si>
  <si>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</si>
  <si>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</si>
  <si>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</si>
  <si>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</si>
  <si>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</si>
  <si>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</si>
  <si>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</si>
  <si>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</si>
  <si>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</si>
  <si>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</si>
  <si>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</si>
  <si>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</si>
  <si>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</si>
  <si>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</si>
  <si>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</si>
  <si>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</si>
  <si>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</si>
  <si>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</si>
  <si>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</si>
  <si>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</si>
  <si>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</si>
  <si>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</si>
  <si>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</si>
  <si>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</si>
  <si>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</si>
  <si>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</si>
  <si>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</si>
  <si>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</si>
  <si>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</si>
  <si>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</si>
  <si>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</si>
  <si>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</si>
  <si>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</si>
  <si>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</si>
  <si>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</si>
  <si>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</si>
  <si>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</si>
  <si>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</si>
  <si>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</si>
  <si>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</si>
  <si>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</si>
  <si>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</si>
  <si>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</si>
  <si>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</si>
  <si>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</si>
  <si>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</si>
  <si>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</si>
  <si>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</si>
  <si>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</si>
  <si>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</si>
  <si>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</si>
  <si>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</si>
  <si>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</si>
  <si>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</si>
  <si>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</si>
  <si>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</si>
  <si>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</si>
  <si>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</si>
  <si>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</si>
  <si>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</si>
  <si>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</si>
  <si>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</si>
  <si>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</si>
  <si>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</si>
  <si>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</si>
  <si>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</si>
  <si>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</si>
  <si>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</si>
  <si>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</si>
  <si>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</si>
  <si>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</si>
  <si>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</si>
  <si>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</si>
  <si>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</si>
  <si>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</si>
  <si>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</si>
  <si>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</si>
  <si>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</si>
  <si>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</si>
  <si>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</si>
  <si>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</si>
  <si>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</si>
  <si>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</si>
  <si>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</si>
  <si>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</si>
  <si>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</si>
  <si>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</si>
  <si>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</si>
  <si>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</si>
  <si>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</si>
  <si>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</si>
  <si>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</si>
  <si>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</si>
  <si>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</si>
  <si>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</si>
  <si>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</si>
  <si>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</si>
  <si>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</si>
  <si>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</si>
  <si>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</si>
  <si>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</si>
  <si>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</si>
  <si>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</si>
  <si>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</si>
  <si>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</si>
  <si>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</si>
  <si>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</si>
  <si>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</si>
  <si>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</si>
  <si>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</si>
  <si>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</si>
  <si>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</si>
  <si>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</si>
  <si>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</si>
  <si>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</si>
  <si>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</si>
  <si>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</si>
  <si>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</si>
  <si>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</si>
  <si>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</si>
  <si>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</si>
  <si>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</si>
  <si>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</si>
  <si>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</si>
  <si>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</si>
  <si>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</si>
  <si>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</si>
  <si>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</si>
  <si>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</si>
  <si>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</si>
  <si>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</si>
  <si>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</si>
  <si>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</si>
  <si>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</si>
  <si>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</si>
  <si>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</si>
  <si>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</si>
  <si>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</si>
  <si>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</si>
  <si>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</si>
  <si>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</si>
  <si>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</si>
  <si>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</si>
  <si>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</si>
  <si>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</si>
  <si>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</si>
  <si>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</si>
  <si>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</si>
  <si>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</si>
  <si>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</si>
  <si>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</si>
  <si>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</si>
  <si>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</si>
  <si>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</si>
  <si>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</si>
  <si>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</si>
  <si>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</si>
  <si>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</si>
  <si>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</si>
  <si>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</si>
  <si>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</si>
  <si>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</si>
  <si>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</si>
  <si>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</si>
  <si>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</si>
  <si>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</si>
  <si>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</si>
  <si>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</si>
  <si>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</si>
  <si>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</si>
  <si>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</si>
  <si>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</si>
  <si>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</si>
  <si>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</si>
  <si>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</si>
  <si>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</si>
  <si>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</si>
  <si>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</si>
  <si>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</si>
  <si>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</si>
  <si>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</si>
  <si>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</si>
  <si>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</si>
  <si>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</si>
  <si>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</si>
  <si>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</si>
  <si>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</si>
  <si>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</si>
  <si>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</si>
  <si>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</si>
  <si>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</si>
  <si>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</si>
  <si>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</si>
  <si>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</si>
  <si>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</si>
  <si>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</si>
  <si>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</si>
  <si>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</si>
  <si>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</si>
  <si>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</si>
  <si>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</si>
  <si>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</si>
  <si>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</si>
  <si>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</si>
  <si>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</si>
  <si>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</si>
  <si>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</si>
  <si>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</si>
  <si>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</si>
  <si>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</si>
  <si>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</si>
  <si>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</si>
  <si>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</si>
  <si>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</si>
  <si>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</si>
  <si>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</si>
  <si>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</si>
  <si>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</si>
  <si>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</si>
  <si>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</si>
  <si>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</si>
  <si>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</si>
  <si>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</si>
  <si>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</si>
  <si>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</si>
  <si>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</si>
  <si>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</si>
  <si>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</si>
  <si>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</si>
  <si>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</si>
  <si>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</si>
  <si>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</si>
  <si>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</si>
  <si>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</si>
  <si>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</si>
  <si>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</si>
  <si>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</si>
  <si>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</si>
  <si>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</si>
  <si>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</si>
  <si>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</si>
  <si>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</si>
  <si>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</si>
  <si>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</si>
  <si>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</si>
  <si>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</si>
  <si>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</si>
  <si>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</si>
  <si>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</si>
  <si>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</si>
  <si>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</si>
  <si>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</si>
  <si>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</si>
  <si>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</si>
  <si>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</si>
  <si>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</si>
  <si>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</si>
  <si>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</si>
  <si>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</si>
  <si>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</si>
  <si>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</si>
  <si>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</si>
  <si>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</si>
  <si>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</si>
  <si>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</si>
  <si>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</si>
  <si>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</si>
  <si>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</si>
  <si>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</si>
  <si>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</si>
  <si>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</si>
  <si>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</si>
  <si>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</si>
  <si>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</si>
  <si>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</si>
  <si>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</si>
  <si>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</si>
  <si>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</si>
  <si>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</si>
  <si>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</si>
  <si>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</si>
  <si>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</si>
  <si>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</si>
  <si>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</si>
  <si>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</si>
  <si>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</si>
  <si>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</si>
  <si>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</si>
  <si>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</si>
  <si>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</si>
  <si>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</si>
  <si>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</si>
  <si>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</si>
  <si>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</si>
  <si>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</si>
  <si>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</si>
  <si>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</si>
  <si>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</si>
  <si>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</si>
  <si>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</si>
  <si>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</si>
  <si>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</si>
  <si>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</si>
  <si>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</si>
  <si>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</si>
  <si>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</si>
  <si>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</si>
  <si>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</si>
  <si>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</si>
  <si>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</si>
  <si>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</si>
  <si>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</si>
  <si>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</si>
  <si>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</si>
  <si>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</si>
  <si>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</si>
  <si>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</si>
  <si>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</si>
  <si>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</si>
  <si>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</si>
  <si>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</si>
  <si>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</si>
  <si>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</si>
  <si>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</si>
  <si>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</si>
  <si>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</si>
  <si>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</si>
  <si>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</si>
  <si>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</si>
  <si>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</si>
  <si>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</si>
  <si>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</si>
  <si>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</si>
  <si>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</si>
  <si>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</si>
  <si>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</si>
  <si>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</si>
  <si>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</si>
  <si>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</si>
  <si>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</si>
  <si>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</si>
  <si>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</si>
  <si>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</si>
  <si>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</si>
  <si>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</si>
  <si>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</si>
  <si>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</si>
  <si>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</si>
  <si>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</si>
  <si>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</si>
  <si>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</si>
  <si>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</si>
  <si>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</si>
  <si>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</si>
  <si>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</si>
  <si>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</si>
  <si>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</si>
  <si>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</si>
  <si>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</si>
  <si>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</si>
  <si>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</si>
  <si>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</si>
  <si>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</si>
  <si>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</si>
  <si>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</si>
  <si>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</si>
  <si>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</si>
  <si>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</si>
  <si>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</si>
  <si>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</si>
  <si>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</si>
  <si>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</si>
  <si>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</si>
  <si>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</si>
  <si>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</si>
  <si>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</si>
  <si>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</si>
  <si>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</si>
  <si>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</si>
  <si>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</si>
  <si>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</si>
  <si>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</si>
  <si>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</si>
  <si>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</si>
  <si>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</si>
  <si>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</si>
  <si>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</si>
  <si>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</si>
  <si>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</si>
  <si>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</si>
  <si>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</si>
  <si>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</si>
  <si>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</si>
  <si>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</si>
  <si>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</si>
  <si>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</si>
  <si>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</si>
  <si>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</si>
  <si>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</si>
  <si>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</si>
  <si>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</si>
  <si>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</si>
  <si>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</si>
  <si>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</si>
  <si>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</si>
  <si>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</si>
  <si>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</si>
  <si>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</si>
  <si>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</si>
  <si>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</si>
  <si>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</si>
  <si>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</si>
  <si>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</si>
  <si>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</si>
  <si>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</si>
  <si>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</si>
  <si>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</si>
  <si>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</si>
  <si>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</si>
  <si>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</si>
  <si>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</si>
  <si>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</si>
  <si>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</si>
  <si>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</si>
  <si>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</si>
  <si>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</si>
  <si>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</si>
  <si>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</si>
  <si>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</si>
  <si>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</si>
  <si>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</si>
  <si>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</si>
  <si>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</si>
  <si>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</si>
  <si>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</si>
  <si>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</si>
  <si>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</si>
  <si>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</si>
  <si>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</si>
  <si>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</si>
  <si>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</si>
  <si>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</si>
  <si>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</si>
  <si>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</si>
  <si>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</si>
  <si>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</si>
  <si>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</si>
  <si>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</si>
  <si>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</si>
  <si>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</si>
  <si>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</si>
  <si>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</si>
  <si>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</si>
  <si>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</si>
  <si>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</si>
  <si>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</si>
  <si>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</si>
  <si>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</si>
  <si>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</si>
  <si>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</si>
  <si>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</si>
  <si>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</si>
  <si>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</si>
  <si>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</si>
  <si>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</si>
  <si>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</si>
  <si>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</si>
  <si>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</si>
  <si>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</si>
  <si>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</si>
  <si>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</si>
  <si>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</si>
  <si>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</si>
  <si>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</si>
  <si>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</si>
  <si>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</si>
  <si>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</si>
  <si>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</si>
  <si>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</si>
  <si>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</si>
  <si>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</si>
  <si>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</si>
  <si>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</si>
  <si>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</si>
  <si>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</si>
  <si>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</si>
  <si>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</si>
  <si>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</si>
  <si>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</si>
  <si>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</si>
  <si>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</si>
  <si>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</si>
  <si>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</si>
  <si>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</si>
  <si>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</si>
  <si>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</si>
  <si>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</si>
  <si>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</si>
  <si>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</si>
  <si>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</si>
  <si>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</si>
  <si>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</si>
  <si>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</si>
  <si>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</si>
  <si>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</si>
  <si>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</si>
  <si>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</si>
  <si>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</si>
  <si>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</si>
  <si>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</si>
  <si>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</si>
  <si>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</si>
  <si>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</si>
  <si>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</si>
  <si>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</si>
  <si>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</si>
  <si>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</si>
  <si>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</si>
  <si>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</si>
  <si>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</si>
  <si>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</si>
  <si>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</si>
  <si>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</si>
  <si>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</si>
  <si>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</si>
  <si>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</si>
  <si>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</si>
  <si>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</si>
  <si>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</si>
  <si>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</si>
  <si>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</si>
  <si>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</si>
  <si>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</si>
  <si>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</si>
  <si>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</si>
  <si>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</si>
  <si>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</si>
  <si>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</si>
  <si>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</si>
  <si>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</si>
  <si>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</si>
  <si>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</si>
  <si>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</si>
  <si>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</si>
  <si>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</si>
  <si>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</si>
  <si>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</si>
  <si>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</si>
  <si>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</si>
  <si>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</si>
  <si>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</si>
  <si>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</si>
  <si>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</si>
  <si>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</si>
  <si>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</si>
  <si>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</si>
  <si>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</si>
  <si>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</si>
  <si>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</si>
  <si>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</si>
  <si>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</si>
  <si>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</si>
  <si>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</si>
  <si>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</si>
  <si>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</si>
  <si>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</si>
  <si>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</si>
  <si>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</si>
  <si>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</si>
  <si>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</si>
  <si>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</si>
  <si>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</si>
  <si>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</si>
  <si>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</si>
  <si>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</si>
  <si>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</si>
  <si>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</si>
  <si>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</si>
  <si>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</si>
  <si>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</si>
  <si>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</si>
  <si>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</si>
  <si>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</si>
  <si>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</si>
  <si>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</si>
  <si>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</si>
  <si>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</si>
  <si>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</si>
  <si>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</si>
  <si>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</si>
  <si>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</si>
  <si>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</si>
  <si>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</si>
  <si>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</si>
  <si>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</si>
  <si>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</si>
  <si>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</si>
  <si>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</si>
  <si>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</si>
  <si>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</si>
  <si>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</si>
  <si>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</si>
  <si>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</si>
  <si>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</si>
  <si>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</si>
  <si>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</si>
  <si>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</si>
  <si>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</si>
  <si>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</si>
  <si>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</si>
  <si>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</si>
  <si>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</si>
  <si>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</si>
  <si>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</si>
  <si>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</si>
  <si>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</si>
  <si>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</si>
  <si>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</si>
  <si>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</si>
  <si>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</si>
  <si>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</si>
  <si>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</si>
  <si>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</si>
  <si>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</si>
  <si>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</si>
  <si>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</si>
  <si>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</si>
  <si>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</si>
  <si>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</si>
  <si>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</si>
  <si>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</si>
  <si>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</si>
  <si>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</si>
  <si>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</si>
  <si>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</si>
  <si>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</si>
  <si>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</si>
  <si>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</si>
  <si>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</si>
  <si>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</si>
  <si>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</si>
  <si>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</si>
  <si>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</si>
  <si>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</si>
  <si>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</si>
  <si>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</si>
  <si>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</si>
  <si>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</si>
  <si>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</si>
  <si>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</si>
  <si>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</si>
  <si>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</si>
  <si>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</si>
  <si>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</si>
  <si>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</si>
  <si>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</si>
  <si>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</si>
  <si>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</si>
  <si>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</si>
  <si>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</si>
  <si>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</si>
  <si>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</si>
  <si>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</si>
  <si>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</si>
  <si>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</si>
  <si>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</si>
  <si>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</si>
  <si>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</si>
  <si>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</si>
  <si>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</si>
  <si>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</si>
  <si>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</si>
  <si>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</si>
  <si>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</si>
  <si>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</si>
  <si>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</si>
  <si>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</si>
  <si>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</si>
  <si>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</si>
  <si>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</si>
  <si>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</si>
  <si>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</si>
  <si>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</si>
  <si>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</si>
  <si>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</si>
  <si>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</si>
  <si>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</si>
  <si>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</si>
  <si>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</si>
  <si>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</si>
  <si>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</si>
  <si>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</si>
  <si>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</si>
  <si>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</si>
  <si>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</si>
  <si>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</si>
  <si>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</si>
  <si>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</si>
  <si>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</si>
  <si>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</si>
  <si>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</si>
  <si>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</si>
  <si>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</si>
  <si>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</si>
  <si>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</si>
  <si>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</si>
  <si>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</si>
  <si>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</si>
  <si>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</si>
  <si>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</si>
  <si>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</si>
  <si>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</si>
  <si>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</si>
  <si>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</si>
  <si>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</si>
  <si>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</si>
  <si>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</si>
  <si>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</si>
  <si>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</si>
  <si>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</si>
  <si>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</si>
  <si>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</si>
  <si>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</si>
  <si>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</si>
  <si>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</si>
  <si>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</si>
  <si>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</si>
  <si>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</si>
  <si>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</si>
  <si>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</si>
  <si>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</si>
  <si>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</si>
  <si>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</si>
  <si>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</si>
  <si>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</si>
  <si>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</si>
  <si>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</si>
  <si>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</si>
  <si>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</si>
  <si>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</si>
  <si>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</si>
  <si>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</si>
  <si>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</si>
  <si>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</si>
  <si>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</si>
  <si>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</si>
  <si>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</si>
  <si>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</si>
  <si>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</si>
  <si>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</si>
  <si>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</si>
  <si>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</si>
  <si>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</si>
  <si>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</si>
  <si>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</si>
  <si>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</si>
  <si>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</si>
  <si>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</si>
  <si>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</si>
  <si>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</si>
  <si>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</si>
  <si>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</si>
  <si>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</si>
  <si>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</si>
  <si>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</si>
  <si>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</si>
  <si>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</si>
  <si>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</si>
  <si>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</si>
  <si>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</si>
  <si>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</si>
  <si>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</si>
  <si>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</si>
  <si>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</si>
  <si>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</si>
  <si>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</si>
  <si>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</si>
  <si>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</si>
  <si>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</si>
  <si>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</si>
  <si>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</si>
  <si>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</si>
  <si>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</si>
  <si>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</si>
  <si>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</si>
  <si>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</si>
  <si>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</si>
  <si>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</si>
  <si>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</si>
  <si>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</si>
  <si>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</si>
  <si>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</si>
  <si>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</si>
  <si>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</si>
  <si>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</si>
  <si>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</si>
  <si>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</si>
  <si>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</si>
  <si>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</si>
  <si>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</si>
  <si>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</si>
  <si>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</si>
  <si>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</si>
  <si>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</si>
  <si>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</si>
  <si>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</si>
  <si>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</si>
  <si>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</si>
  <si>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</si>
  <si>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</si>
  <si>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</si>
  <si>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</si>
  <si>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</si>
  <si>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</si>
  <si>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</si>
  <si>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</si>
  <si>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</si>
  <si>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</si>
  <si>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</si>
  <si>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</si>
  <si>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</si>
  <si>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</si>
  <si>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</si>
  <si>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</si>
  <si>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</si>
  <si>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</si>
  <si>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</si>
  <si>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</si>
  <si>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</si>
  <si>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</si>
  <si>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</si>
  <si>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</si>
  <si>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</si>
  <si>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</si>
  <si>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</si>
  <si>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</si>
  <si>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</si>
  <si>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</si>
  <si>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</si>
  <si>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</si>
  <si>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</si>
  <si>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</si>
  <si>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</si>
  <si>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</si>
  <si>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</si>
  <si>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</si>
  <si>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</si>
  <si>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</si>
  <si>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</si>
  <si>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</si>
  <si>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</si>
  <si>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</si>
  <si>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</si>
  <si>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</si>
  <si>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</si>
  <si>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</si>
  <si>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</si>
  <si>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</si>
  <si>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</si>
  <si>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</si>
  <si>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</si>
  <si>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</si>
  <si>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</si>
  <si>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</si>
  <si>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</si>
  <si>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</si>
  <si>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</si>
  <si>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</si>
  <si>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</si>
  <si>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</si>
  <si>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</si>
  <si>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</si>
  <si>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</si>
  <si>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</si>
  <si>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</si>
  <si>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</si>
  <si>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</si>
  <si>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</si>
  <si>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</si>
  <si>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</si>
  <si>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</si>
  <si>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</si>
  <si>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</si>
  <si>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</si>
  <si>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</si>
  <si>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</si>
  <si>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</si>
  <si>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</si>
  <si>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</si>
  <si>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</si>
  <si>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</si>
  <si>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</si>
  <si>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</si>
  <si>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</si>
  <si>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</si>
  <si>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</si>
  <si>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</si>
  <si>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</si>
  <si>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</si>
  <si>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</si>
  <si>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</si>
  <si>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</si>
  <si>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</si>
  <si>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</si>
  <si>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</si>
  <si>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</si>
  <si>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</si>
  <si>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</si>
  <si>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</si>
  <si>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</si>
  <si>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</si>
  <si>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</si>
  <si>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</si>
  <si>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</si>
  <si>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</si>
  <si>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</si>
  <si>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</si>
  <si>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</si>
  <si>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</si>
  <si>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</si>
  <si>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</si>
  <si>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</si>
  <si>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</si>
  <si>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</si>
  <si>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</si>
  <si>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</si>
  <si>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</si>
  <si>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</si>
  <si>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</si>
  <si>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</si>
  <si>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</si>
  <si>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</si>
  <si>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</si>
  <si>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</si>
  <si>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</si>
  <si>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</si>
  <si>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</si>
  <si>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</si>
  <si>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</si>
  <si>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</si>
  <si>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</si>
  <si>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</si>
  <si>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</si>
  <si>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</si>
  <si>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</si>
  <si>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</si>
  <si>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</si>
  <si>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</si>
  <si>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</si>
  <si>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</si>
  <si>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</si>
  <si>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</si>
  <si>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</si>
  <si>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</si>
  <si>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</si>
  <si>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</si>
  <si>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</si>
  <si>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</si>
  <si>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</si>
  <si>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</si>
  <si>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</si>
  <si>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</si>
  <si>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</si>
  <si>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</si>
  <si>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</si>
  <si>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</si>
  <si>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</si>
  <si>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</si>
  <si>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</si>
  <si>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</si>
  <si>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</si>
  <si>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</si>
  <si>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</si>
  <si>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</si>
  <si>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</si>
  <si>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</si>
  <si>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</si>
  <si>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</si>
  <si>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</si>
  <si>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</si>
  <si>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</si>
  <si>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</si>
  <si>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</si>
  <si>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</si>
  <si>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</si>
  <si>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</si>
  <si>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</si>
  <si>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</si>
  <si>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</si>
  <si>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</si>
  <si>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</si>
  <si>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</si>
  <si>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</si>
  <si>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</si>
  <si>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</si>
  <si>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</si>
  <si>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</si>
  <si>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</si>
  <si>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</si>
  <si>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</si>
  <si>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</si>
  <si>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</si>
  <si>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</si>
  <si>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</si>
  <si>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</si>
  <si>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</si>
  <si>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</si>
  <si>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</si>
  <si>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</si>
  <si>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</si>
  <si>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</si>
  <si>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</si>
  <si>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</si>
  <si>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</si>
  <si>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</si>
  <si>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</si>
  <si>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</si>
  <si>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</si>
  <si>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</si>
  <si>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</si>
  <si>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</si>
  <si>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</si>
  <si>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</si>
  <si>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</si>
  <si>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</si>
  <si>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</si>
  <si>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</si>
  <si>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</si>
  <si>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</si>
  <si>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</si>
  <si>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</si>
  <si>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</si>
  <si>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</si>
  <si>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</si>
  <si>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</si>
  <si>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</si>
  <si>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</si>
  <si>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</si>
  <si>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</si>
  <si>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</si>
  <si>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</si>
  <si>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</si>
  <si>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</si>
  <si>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</si>
  <si>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</si>
  <si>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</si>
  <si>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</si>
  <si>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</si>
  <si>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</si>
  <si>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</si>
  <si>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</si>
  <si>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</si>
  <si>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</si>
  <si>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</si>
  <si>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</si>
  <si>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</si>
  <si>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</si>
  <si>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</si>
  <si>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</si>
  <si>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</si>
  <si>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</si>
  <si>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</si>
  <si>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</si>
  <si>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</si>
  <si>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</si>
  <si>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</si>
  <si>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</si>
  <si>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</si>
  <si>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</si>
  <si>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</si>
  <si>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</si>
  <si>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</si>
  <si>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</si>
  <si>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</si>
  <si>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</si>
  <si>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</si>
  <si>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</si>
  <si>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</si>
  <si>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</si>
  <si>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</si>
  <si>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</si>
  <si>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</si>
  <si>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</si>
  <si>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</si>
  <si>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</si>
  <si>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</si>
  <si>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</si>
  <si>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</si>
  <si>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</si>
  <si>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</si>
  <si>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</si>
  <si>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</si>
  <si>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</si>
  <si>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</si>
  <si>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</si>
  <si>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</si>
  <si>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</si>
  <si>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</si>
  <si>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</si>
  <si>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</si>
  <si>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</si>
  <si>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</si>
  <si>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</si>
  <si>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</si>
  <si>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</si>
  <si>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</si>
  <si>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</si>
  <si>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</si>
  <si>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</si>
  <si>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</si>
  <si>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</si>
  <si>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</si>
  <si>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</si>
  <si>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</si>
  <si>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</si>
  <si>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</si>
  <si>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</si>
  <si>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</si>
  <si>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</si>
  <si>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</si>
  <si>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</si>
  <si>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</si>
  <si>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</si>
  <si>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</si>
  <si>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</si>
  <si>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</si>
  <si>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</si>
  <si>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</si>
  <si>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</si>
  <si>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</si>
  <si>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</si>
  <si>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</si>
  <si>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</si>
  <si>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</si>
  <si>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</si>
  <si>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</si>
  <si>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</si>
  <si>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</si>
  <si>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</si>
  <si>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</si>
  <si>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</si>
  <si>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</si>
  <si>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</si>
  <si>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</si>
  <si>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</si>
  <si>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</si>
  <si>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</si>
  <si>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</si>
  <si>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</si>
  <si>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</si>
  <si>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</si>
  <si>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</si>
  <si>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</si>
  <si>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</si>
  <si>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</si>
  <si>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</si>
  <si>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</si>
  <si>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</si>
  <si>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</si>
  <si>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</si>
  <si>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</si>
  <si>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</si>
  <si>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</si>
  <si>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</si>
  <si>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</si>
  <si>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</si>
  <si>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</si>
  <si>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</si>
  <si>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</si>
  <si>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</si>
  <si>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</si>
  <si>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</si>
  <si>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</si>
  <si>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</si>
  <si>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</si>
  <si>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</si>
  <si>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</si>
  <si>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</si>
  <si>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</si>
  <si>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</si>
  <si>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</si>
  <si>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</si>
  <si>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</si>
  <si>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</si>
  <si>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</si>
  <si>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</si>
  <si>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</si>
  <si>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</si>
  <si>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</si>
  <si>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</si>
  <si>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</si>
  <si>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</si>
  <si>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</si>
  <si>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</si>
  <si>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</si>
  <si>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</si>
  <si>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</si>
  <si>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</si>
  <si>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</si>
  <si>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</si>
  <si>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</si>
  <si>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</si>
  <si>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</si>
  <si>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</si>
  <si>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</si>
  <si>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</si>
  <si>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</si>
  <si>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</si>
  <si>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</si>
  <si>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</si>
  <si>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</si>
  <si>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</si>
  <si>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</si>
  <si>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</si>
  <si>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</si>
  <si>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</si>
  <si>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</si>
  <si>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</si>
  <si>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</si>
  <si>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</si>
  <si>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</si>
  <si>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</si>
  <si>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</si>
  <si>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</si>
  <si>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</si>
  <si>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</si>
  <si>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</si>
  <si>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</si>
  <si>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</si>
  <si>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</si>
  <si>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</si>
  <si>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</si>
  <si>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</si>
  <si>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</si>
  <si>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</si>
  <si>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</si>
  <si>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</si>
  <si>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</si>
  <si>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</si>
  <si>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</si>
  <si>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</si>
  <si>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</si>
  <si>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</si>
  <si>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</si>
  <si>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</si>
  <si>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</si>
  <si>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</si>
  <si>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</si>
  <si>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</si>
  <si>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</si>
  <si>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</si>
  <si>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</si>
  <si>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</si>
  <si>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</si>
  <si>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</si>
  <si>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</si>
  <si>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</si>
  <si>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</si>
  <si>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</si>
  <si>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</si>
  <si>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</si>
  <si>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</si>
  <si>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</si>
  <si>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</si>
  <si>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</si>
  <si>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</si>
  <si>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</si>
  <si>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</si>
  <si>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</si>
  <si>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</si>
  <si>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</si>
  <si>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</si>
  <si>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</si>
  <si>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</si>
  <si>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</si>
  <si>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</si>
  <si>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</si>
  <si>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</si>
  <si>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</si>
  <si>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</si>
  <si>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</si>
  <si>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</si>
  <si>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</si>
  <si>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</si>
  <si>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</si>
  <si>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</si>
  <si>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</si>
  <si>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</si>
  <si>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</si>
  <si>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</si>
  <si>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</si>
  <si>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</si>
  <si>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</si>
  <si>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</si>
  <si>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</si>
  <si>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</si>
  <si>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</si>
  <si>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</si>
  <si>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</si>
  <si>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</si>
  <si>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</si>
  <si>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</si>
  <si>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</si>
  <si>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</si>
  <si>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</si>
  <si>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</si>
  <si>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</si>
  <si>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</si>
  <si>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</si>
  <si>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</si>
  <si>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</si>
  <si>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</si>
  <si>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</si>
  <si>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</si>
  <si>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</si>
  <si>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</si>
  <si>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</si>
  <si>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</si>
  <si>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</si>
  <si>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</si>
  <si>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</si>
  <si>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</si>
  <si>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</si>
  <si>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</si>
  <si>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</si>
  <si>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</si>
  <si>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</si>
  <si>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</si>
  <si>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</si>
  <si>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</si>
  <si>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</si>
  <si>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</si>
  <si>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</si>
  <si>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</si>
  <si>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</si>
  <si>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</si>
  <si>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</si>
  <si>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</si>
  <si>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</si>
  <si>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</si>
  <si>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</si>
  <si>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</si>
  <si>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</si>
  <si>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</si>
  <si>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</si>
  <si>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</si>
  <si>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</si>
  <si>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</si>
  <si>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</si>
  <si>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</si>
  <si>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</si>
  <si>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</si>
  <si>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</si>
  <si>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</si>
  <si>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</si>
  <si>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</si>
  <si>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</si>
  <si>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</si>
  <si>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</si>
  <si>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</si>
  <si>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</si>
  <si>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</si>
  <si>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</si>
  <si>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</si>
  <si>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</si>
  <si>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</si>
  <si>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</si>
  <si>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</si>
  <si>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</si>
  <si>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</si>
  <si>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</si>
  <si>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</si>
  <si>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</si>
  <si>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</si>
  <si>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</si>
  <si>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</si>
  <si>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</si>
  <si>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</si>
  <si>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</si>
  <si>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</si>
  <si>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</si>
  <si>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</si>
  <si>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</si>
  <si>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</si>
  <si>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</si>
  <si>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</si>
  <si>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</si>
  <si>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</si>
  <si>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</si>
  <si>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</si>
  <si>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</si>
  <si>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</si>
  <si>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</si>
  <si>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</si>
  <si>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</si>
  <si>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</si>
  <si>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</si>
  <si>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</si>
  <si>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</si>
  <si>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</si>
  <si>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</si>
  <si>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</si>
  <si>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</si>
  <si>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</si>
  <si>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</si>
  <si>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</si>
  <si>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</si>
  <si>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</si>
  <si>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</si>
  <si>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</si>
  <si>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</si>
  <si>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</si>
  <si>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</si>
  <si>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</si>
  <si>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</si>
  <si>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</si>
  <si>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</si>
  <si>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</si>
  <si>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</si>
  <si>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</si>
  <si>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</si>
  <si>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</si>
  <si>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</si>
  <si>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</si>
  <si>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</si>
  <si>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</si>
  <si>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</si>
  <si>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</si>
  <si>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</si>
  <si>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</si>
  <si>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</si>
  <si>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</si>
  <si>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</si>
  <si>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</si>
  <si>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</si>
  <si>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</si>
  <si>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</si>
  <si>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</si>
  <si>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</si>
  <si>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</si>
  <si>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</si>
  <si>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</si>
  <si>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</si>
  <si>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</si>
  <si>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</si>
  <si>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</si>
  <si>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</si>
  <si>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</si>
  <si>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</si>
  <si>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</si>
  <si>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</si>
  <si>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</si>
  <si>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</si>
  <si>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</si>
  <si>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</si>
  <si>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</si>
  <si>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</si>
  <si>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</si>
  <si>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</si>
  <si>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</si>
  <si>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</si>
  <si>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</si>
  <si>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</si>
  <si>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</si>
  <si>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</si>
  <si>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</si>
  <si>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</si>
  <si>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</si>
  <si>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</si>
  <si>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</si>
  <si>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</si>
  <si>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</si>
  <si>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</si>
  <si>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</si>
  <si>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</si>
  <si>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</si>
  <si>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</si>
  <si>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</si>
  <si>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</si>
  <si>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</si>
  <si>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</si>
  <si>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</si>
  <si>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</si>
  <si>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</si>
  <si>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</si>
  <si>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</si>
  <si>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</si>
  <si>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</si>
  <si>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</si>
  <si>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</si>
  <si>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</si>
  <si>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</si>
  <si>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</si>
  <si>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</si>
  <si>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</si>
  <si>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</si>
  <si>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</si>
  <si>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</si>
  <si>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</si>
  <si>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</si>
  <si>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</si>
  <si>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</si>
  <si>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</si>
  <si>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</si>
  <si>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</si>
  <si>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</si>
  <si>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</si>
  <si>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</si>
  <si>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</si>
  <si>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</si>
  <si>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</si>
  <si>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</si>
  <si>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</si>
  <si>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</si>
  <si>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</si>
  <si>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</si>
  <si>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</si>
  <si>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</si>
  <si>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</si>
  <si>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</si>
  <si>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</si>
  <si>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</si>
  <si>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</si>
  <si>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</si>
  <si>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</si>
  <si>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</si>
  <si>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</si>
  <si>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</si>
  <si>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</si>
  <si>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</si>
  <si>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</si>
  <si>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</si>
  <si>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</si>
  <si>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</si>
  <si>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</si>
  <si>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</si>
  <si>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</si>
  <si>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</si>
  <si>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</si>
  <si>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</si>
  <si>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</si>
  <si>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</si>
  <si>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</si>
  <si>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</si>
  <si>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</si>
  <si>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</si>
  <si>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</si>
  <si>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</si>
  <si>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</si>
  <si>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</si>
  <si>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</si>
  <si>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</si>
  <si>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</si>
  <si>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</si>
  <si>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</si>
  <si>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</si>
  <si>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</si>
  <si>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</si>
  <si>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</si>
  <si>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</si>
  <si>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</si>
  <si>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</si>
  <si>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</si>
  <si>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</si>
  <si>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</si>
  <si>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</si>
  <si>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</si>
  <si>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</si>
  <si>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</si>
  <si>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</si>
  <si>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</si>
  <si>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</si>
  <si>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</si>
  <si>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</si>
  <si>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</si>
  <si>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</si>
  <si>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</si>
  <si>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</si>
  <si>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</si>
  <si>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</si>
  <si>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</si>
  <si>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</si>
  <si>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</si>
  <si>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</si>
  <si>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</si>
  <si>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</si>
  <si>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</si>
  <si>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</si>
  <si>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</si>
  <si>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</si>
  <si>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</si>
  <si>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</si>
  <si>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</si>
  <si>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</si>
  <si>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</si>
  <si>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</si>
  <si>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</si>
  <si>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</si>
  <si>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</si>
  <si>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</si>
  <si>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</si>
  <si>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</si>
  <si>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</si>
  <si>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</si>
  <si>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</si>
  <si>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</si>
  <si>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</si>
  <si>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</si>
  <si>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</si>
  <si>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</si>
  <si>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</si>
  <si>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</si>
  <si>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</si>
  <si>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</si>
  <si>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</si>
  <si>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</si>
  <si>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</si>
  <si>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</si>
  <si>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</si>
  <si>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</si>
  <si>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</si>
  <si>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</si>
  <si>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</si>
  <si>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</si>
  <si>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</si>
  <si>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</si>
  <si>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</si>
  <si>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</si>
  <si>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</si>
  <si>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</si>
  <si>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</si>
  <si>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</si>
  <si>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</si>
  <si>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</si>
  <si>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</si>
  <si>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</si>
  <si>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</si>
  <si>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</si>
  <si>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</si>
  <si>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</si>
  <si>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</si>
  <si>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</si>
  <si>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</si>
  <si>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</si>
  <si>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</si>
  <si>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</si>
  <si>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</si>
  <si>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</si>
  <si>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</si>
  <si>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</si>
  <si>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</si>
  <si>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</si>
  <si>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</si>
  <si>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</si>
  <si>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</si>
  <si>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</si>
  <si>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</si>
  <si>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</si>
  <si>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</si>
  <si>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</si>
  <si>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</si>
  <si>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</si>
  <si>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</si>
  <si>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</si>
  <si>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</si>
  <si>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</si>
  <si>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</si>
  <si>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</si>
  <si>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</si>
  <si>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</si>
  <si>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</si>
  <si>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</si>
  <si>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</si>
  <si>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</si>
  <si>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</si>
  <si>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</si>
  <si>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</si>
  <si>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</si>
  <si>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</si>
  <si>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</si>
  <si>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</si>
  <si>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</si>
  <si>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</si>
  <si>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</si>
  <si>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</si>
  <si>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</si>
  <si>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</si>
  <si>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</si>
  <si>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</si>
  <si>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</si>
  <si>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</si>
  <si>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</si>
  <si>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</si>
  <si>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</si>
  <si>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</si>
  <si>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</si>
  <si>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</si>
  <si>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</si>
  <si>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</si>
  <si>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</si>
  <si>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</si>
  <si>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</si>
  <si>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</si>
  <si>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</si>
  <si>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</si>
  <si>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</si>
  <si>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</si>
  <si>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</si>
  <si>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</si>
  <si>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</si>
  <si>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</si>
  <si>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</si>
  <si>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</si>
  <si>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</si>
  <si>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</si>
  <si>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</si>
  <si>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</si>
  <si>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</si>
  <si>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</si>
  <si>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</si>
  <si>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</si>
  <si>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</si>
  <si>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</si>
  <si>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</si>
  <si>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</si>
  <si>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</si>
  <si>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</si>
  <si>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</si>
  <si>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</si>
  <si>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</si>
  <si>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</si>
  <si>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</si>
  <si>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</si>
  <si>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</si>
  <si>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</si>
  <si>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</si>
  <si>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</si>
  <si>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</si>
  <si>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</si>
  <si>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</si>
  <si>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</si>
  <si>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</si>
  <si>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</si>
  <si>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</si>
  <si>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</si>
  <si>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</si>
  <si>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</si>
  <si>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</si>
  <si>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</si>
  <si>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</si>
  <si>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</si>
  <si>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</si>
  <si>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</si>
  <si>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</si>
  <si>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</si>
  <si>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</si>
  <si>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</si>
  <si>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</si>
  <si>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</si>
  <si>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</si>
  <si>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</si>
  <si>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</si>
  <si>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</si>
  <si>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</si>
  <si>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</si>
  <si>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</si>
  <si>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</si>
  <si>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</si>
  <si>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</si>
  <si>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</si>
  <si>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</si>
  <si>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</si>
  <si>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</si>
  <si>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</si>
  <si>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</si>
  <si>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</si>
  <si>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</si>
  <si>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</si>
  <si>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</si>
  <si>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</si>
  <si>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</si>
  <si>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</si>
  <si>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</si>
  <si>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</si>
  <si>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</si>
  <si>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</si>
  <si>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</si>
  <si>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</si>
  <si>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</si>
  <si>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</si>
  <si>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</si>
  <si>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</si>
  <si>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</si>
  <si>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</si>
  <si>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</si>
  <si>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</si>
  <si>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</si>
  <si>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</si>
  <si>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</si>
  <si>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</si>
  <si>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</si>
  <si>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</si>
  <si>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</si>
  <si>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</si>
  <si>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</si>
  <si>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</si>
  <si>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</si>
  <si>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</si>
  <si>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</si>
  <si>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</si>
  <si>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</si>
  <si>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</si>
  <si>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</si>
  <si>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</si>
  <si>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</si>
  <si>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</si>
  <si>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</si>
  <si>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</si>
  <si>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</si>
  <si>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</si>
  <si>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</si>
  <si>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</si>
  <si>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</si>
  <si>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</si>
  <si>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</si>
  <si>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</si>
  <si>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</si>
  <si>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</si>
  <si>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</si>
  <si>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</si>
  <si>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</si>
  <si>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</si>
  <si>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</si>
  <si>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</si>
  <si>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</si>
  <si>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</si>
  <si>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</si>
  <si>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</si>
  <si>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</si>
  <si>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</si>
  <si>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</si>
  <si>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</si>
  <si>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</si>
  <si>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</si>
  <si>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</si>
  <si>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</si>
  <si>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</si>
  <si>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</si>
  <si>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</si>
  <si>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</si>
  <si>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</si>
  <si>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</si>
  <si>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</si>
  <si>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</si>
  <si>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</si>
  <si>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</si>
  <si>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</si>
  <si>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</si>
  <si>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</si>
  <si>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</si>
  <si>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</si>
  <si>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</si>
  <si>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</si>
  <si>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</si>
  <si>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</si>
  <si>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</si>
  <si>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</si>
  <si>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</si>
  <si>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</si>
  <si>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</si>
  <si>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</si>
  <si>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</si>
  <si>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</si>
  <si>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</si>
  <si>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</si>
  <si>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</si>
  <si>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</si>
  <si>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</si>
  <si>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</si>
  <si>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</si>
  <si>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</si>
  <si>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</si>
  <si>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</si>
  <si>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</si>
  <si>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</si>
  <si>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</si>
  <si>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</si>
  <si>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</si>
  <si>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</si>
  <si>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</si>
  <si>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</si>
  <si>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</si>
  <si>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</si>
  <si>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</si>
  <si>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</si>
  <si>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</si>
  <si>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</si>
  <si>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</si>
  <si>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</si>
  <si>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</si>
  <si>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</si>
  <si>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</si>
  <si>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</si>
  <si>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</si>
  <si>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</si>
  <si>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</si>
  <si>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</si>
  <si>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</si>
  <si>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</si>
  <si>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</si>
  <si>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</si>
  <si>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</si>
  <si>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</si>
  <si>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</si>
  <si>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</si>
  <si>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</si>
  <si>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</si>
  <si>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</si>
  <si>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</si>
  <si>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</si>
  <si>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</si>
  <si>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</si>
  <si>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</si>
  <si>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</si>
  <si>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</si>
  <si>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</si>
  <si>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</si>
  <si>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</si>
  <si>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</si>
  <si>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</si>
  <si>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</si>
  <si>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</si>
  <si>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</si>
  <si>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</si>
  <si>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</si>
  <si>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</si>
  <si>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</si>
  <si>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</si>
  <si>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</si>
  <si>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</si>
  <si>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</si>
  <si>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</si>
  <si>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</si>
  <si>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</si>
  <si>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</si>
  <si>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</si>
  <si>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</si>
  <si>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</si>
  <si>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</si>
  <si>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</si>
  <si>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</si>
  <si>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</si>
  <si>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</si>
  <si>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</si>
  <si>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</si>
  <si>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</si>
  <si>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</si>
  <si>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</si>
  <si>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</si>
  <si>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</si>
  <si>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</si>
  <si>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</si>
  <si>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</si>
  <si>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</si>
  <si>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</si>
  <si>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</si>
  <si>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</si>
  <si>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</si>
  <si>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</si>
  <si>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</si>
  <si>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</si>
  <si>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</si>
  <si>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</si>
  <si>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</si>
  <si>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</si>
  <si>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</si>
  <si>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</si>
  <si>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</si>
  <si>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</si>
  <si>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</si>
  <si>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</si>
  <si>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</si>
  <si>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</si>
  <si>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</si>
  <si>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</si>
  <si>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</si>
  <si>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</si>
  <si>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</si>
  <si>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</si>
  <si>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</si>
  <si>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</si>
  <si>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</si>
  <si>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</si>
  <si>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</si>
  <si>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</si>
  <si>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</si>
  <si>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</si>
  <si>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</si>
  <si>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</si>
  <si>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</si>
  <si>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</si>
  <si>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</si>
  <si>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</si>
  <si>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</si>
  <si>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</si>
  <si>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</si>
  <si>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</si>
  <si>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</si>
  <si>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</si>
  <si>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</si>
  <si>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</si>
  <si>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</si>
  <si>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</si>
  <si>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</si>
  <si>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</si>
  <si>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</si>
  <si>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</si>
  <si>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</si>
  <si>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</si>
  <si>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</si>
  <si>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</si>
  <si>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</si>
  <si>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</si>
  <si>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</si>
  <si>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</si>
  <si>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</si>
  <si>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</si>
  <si>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</si>
  <si>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</si>
  <si>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</si>
  <si>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</si>
  <si>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</si>
  <si>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</si>
  <si>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</si>
  <si>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</si>
  <si>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</si>
  <si>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</si>
  <si>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</si>
  <si>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</si>
  <si>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</si>
  <si>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</si>
  <si>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</si>
  <si>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</si>
  <si>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</si>
  <si>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</si>
  <si>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</si>
  <si>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</si>
  <si>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</si>
  <si>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</si>
  <si>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</si>
  <si>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</si>
  <si>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</si>
  <si>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</si>
  <si>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</si>
  <si>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</si>
  <si>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</si>
  <si>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</si>
  <si>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</si>
  <si>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</si>
  <si>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</si>
  <si>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</si>
  <si>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</si>
  <si>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</si>
  <si>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</si>
  <si>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</si>
  <si>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</si>
  <si>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</si>
  <si>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</si>
  <si>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</si>
  <si>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</si>
  <si>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</si>
  <si>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</si>
  <si>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</si>
  <si>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</si>
  <si>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</si>
  <si>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</si>
  <si>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</si>
  <si>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</si>
  <si>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</si>
  <si>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</si>
  <si>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</si>
  <si>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</si>
  <si>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</si>
  <si>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</si>
  <si>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</si>
  <si>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</si>
  <si>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</si>
  <si>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</si>
  <si>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</si>
  <si>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</si>
  <si>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</si>
  <si>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</si>
  <si>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</si>
  <si>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</si>
  <si>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</si>
  <si>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</si>
  <si>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</si>
  <si>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</si>
  <si>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</si>
  <si>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</si>
  <si>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</si>
  <si>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</si>
  <si>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</si>
  <si>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</si>
  <si>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</si>
  <si>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</si>
  <si>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</si>
  <si>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</si>
  <si>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</si>
  <si>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</si>
  <si>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</si>
  <si>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</si>
  <si>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</si>
  <si>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</si>
  <si>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</si>
  <si>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</si>
  <si>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</si>
  <si>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</si>
  <si>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</si>
  <si>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</si>
  <si>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</si>
  <si>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</si>
  <si>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</si>
  <si>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</si>
  <si>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</si>
  <si>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</si>
  <si>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</si>
  <si>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</si>
  <si>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</si>
  <si>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</si>
  <si>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</si>
  <si>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</si>
  <si>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</si>
  <si>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</si>
  <si>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</si>
  <si>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</si>
  <si>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</si>
  <si>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</si>
  <si>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</si>
  <si>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</si>
  <si>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</si>
  <si>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</si>
  <si>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</si>
  <si>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</si>
  <si>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</si>
  <si>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</si>
  <si>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</si>
  <si>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</si>
  <si>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</si>
  <si>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</si>
  <si>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</si>
  <si>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</si>
  <si>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</si>
  <si>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</si>
  <si>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</si>
  <si>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</si>
  <si>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</si>
  <si>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</si>
  <si>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</si>
  <si>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</si>
  <si>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</si>
  <si>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</si>
  <si>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</si>
  <si>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</si>
  <si>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</si>
  <si>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</si>
  <si>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</si>
  <si>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</si>
  <si>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</si>
  <si>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</si>
  <si>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</si>
  <si>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</si>
  <si>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</si>
  <si>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</si>
  <si>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</si>
  <si>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</si>
  <si>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</si>
  <si>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</si>
  <si>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</si>
  <si>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</si>
  <si>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</si>
  <si>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</si>
  <si>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</si>
  <si>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</si>
  <si>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</si>
  <si>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</si>
  <si>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</si>
  <si>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</si>
  <si>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</si>
  <si>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</si>
  <si>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</si>
  <si>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</si>
  <si>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</si>
  <si>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</si>
  <si>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</si>
  <si>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</si>
  <si>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</si>
  <si>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</si>
  <si>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</si>
  <si>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</si>
  <si>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</si>
  <si>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</si>
  <si>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</si>
  <si>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</si>
  <si>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</si>
  <si>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</si>
  <si>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</si>
  <si>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</si>
  <si>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</si>
  <si>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</si>
  <si>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</si>
  <si>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</si>
  <si>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</si>
  <si>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</si>
  <si>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</si>
  <si>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</si>
  <si>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</si>
  <si>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</si>
  <si>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</si>
  <si>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</si>
  <si>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</si>
  <si>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</si>
  <si>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</si>
  <si>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</si>
  <si>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</si>
  <si>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</si>
  <si>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</si>
  <si>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</si>
  <si>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</si>
  <si>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</si>
  <si>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</si>
  <si>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</si>
  <si>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</si>
  <si>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</si>
  <si>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</si>
  <si>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</si>
  <si>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</si>
  <si>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</si>
  <si>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</si>
  <si>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</si>
  <si>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</si>
  <si>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</si>
  <si>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</si>
  <si>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</si>
  <si>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</si>
  <si>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</si>
  <si>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</si>
  <si>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</si>
  <si>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</si>
  <si>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</si>
  <si>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</si>
  <si>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</si>
  <si>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</si>
  <si>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</si>
  <si>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</si>
  <si>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</si>
  <si>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</si>
  <si>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</si>
  <si>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</si>
  <si>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</si>
  <si>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</si>
  <si>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</si>
  <si>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</si>
  <si>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</si>
  <si>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</si>
  <si>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</si>
  <si>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</si>
  <si>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</si>
  <si>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</si>
  <si>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</si>
  <si>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</si>
  <si>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</si>
  <si>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</si>
  <si>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</si>
  <si>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</si>
  <si>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</si>
  <si>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</si>
  <si>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</si>
  <si>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</si>
  <si>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</si>
  <si>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</si>
  <si>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</si>
  <si>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</si>
  <si>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</si>
  <si>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</si>
  <si>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</si>
  <si>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</si>
  <si>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</si>
  <si>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</si>
  <si>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</si>
  <si>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</si>
  <si>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</si>
  <si>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</si>
  <si>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</si>
  <si>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</si>
  <si>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</si>
  <si>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</si>
  <si>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</si>
  <si>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</si>
  <si>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</si>
  <si>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</si>
  <si>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</si>
  <si>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</si>
  <si>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</si>
  <si>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</si>
  <si>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</si>
  <si>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</si>
  <si>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</si>
  <si>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</si>
  <si>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</si>
  <si>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</si>
  <si>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</si>
  <si>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</si>
  <si>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</si>
  <si>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</si>
  <si>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</si>
  <si>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</si>
  <si>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</si>
  <si>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</si>
  <si>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</si>
  <si>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</si>
  <si>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</si>
  <si>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</si>
  <si>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</si>
  <si>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</si>
  <si>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</si>
  <si>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</si>
  <si>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</si>
  <si>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</si>
  <si>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</si>
  <si>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</si>
  <si>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</si>
  <si>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</si>
  <si>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</si>
  <si>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</si>
  <si>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</si>
  <si>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</si>
  <si>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</si>
  <si>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</si>
  <si>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</si>
  <si>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</si>
  <si>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</si>
  <si>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</si>
  <si>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</si>
  <si>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</si>
  <si>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</si>
  <si>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</si>
  <si>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</si>
  <si>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</si>
  <si>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</si>
  <si>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</si>
  <si>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</si>
  <si>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</si>
  <si>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</si>
  <si>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</si>
  <si>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</si>
  <si>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</si>
  <si>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</si>
  <si>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</si>
  <si>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</si>
  <si>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</si>
  <si>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</si>
  <si>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</si>
  <si>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</si>
  <si>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</si>
  <si>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</si>
  <si>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</si>
  <si>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</si>
  <si>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</si>
  <si>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</si>
  <si>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</si>
  <si>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</si>
  <si>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</si>
  <si>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</si>
  <si>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</si>
  <si>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</si>
  <si>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</si>
  <si>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</si>
  <si>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</si>
  <si>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</si>
  <si>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</si>
  <si>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</si>
  <si>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</si>
  <si>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</si>
  <si>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</si>
  <si>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</si>
  <si>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</si>
  <si>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</si>
  <si>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</si>
  <si>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</si>
  <si>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</si>
  <si>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</si>
  <si>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</si>
  <si>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</si>
  <si>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</si>
  <si>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</si>
  <si>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</si>
  <si>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</si>
  <si>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</si>
  <si>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</si>
  <si>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</si>
  <si>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</si>
  <si>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</si>
  <si>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</si>
  <si>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</si>
  <si>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</si>
  <si>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</si>
  <si>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</si>
  <si>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</si>
  <si>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</si>
  <si>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</si>
  <si>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</si>
  <si>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</si>
  <si>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</si>
  <si>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</si>
  <si>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</si>
  <si>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</si>
  <si>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</si>
  <si>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</si>
  <si>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</si>
  <si>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</si>
  <si>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</si>
  <si>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</si>
  <si>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</si>
  <si>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</si>
  <si>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</si>
  <si>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</si>
  <si>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</si>
  <si>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</si>
  <si>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</si>
  <si>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</si>
  <si>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</si>
  <si>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</si>
  <si>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</si>
  <si>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</si>
  <si>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</si>
  <si>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</si>
  <si>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</si>
  <si>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</si>
  <si>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</si>
  <si>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</si>
  <si>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</si>
  <si>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</si>
  <si>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</si>
  <si>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</si>
  <si>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</si>
  <si>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</si>
  <si>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</si>
  <si>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</si>
  <si>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</si>
  <si>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</si>
  <si>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</si>
  <si>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</si>
  <si>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</si>
  <si>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</si>
  <si>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</si>
  <si>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</si>
  <si>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</si>
  <si>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</si>
  <si>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</si>
  <si>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</si>
  <si>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</si>
  <si>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</si>
  <si>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</si>
  <si>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</si>
  <si>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</si>
  <si>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</si>
  <si>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</si>
  <si>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</si>
  <si>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</si>
  <si>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</si>
  <si>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</si>
  <si>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</si>
  <si>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</si>
  <si>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</si>
  <si>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</si>
  <si>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</si>
  <si>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</si>
  <si>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</si>
  <si>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</si>
  <si>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</si>
  <si>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</si>
  <si>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</si>
  <si>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</si>
  <si>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</si>
  <si>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</si>
  <si>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</si>
  <si>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</si>
  <si>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</si>
  <si>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</si>
  <si>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</si>
  <si>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</si>
  <si>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</si>
  <si>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</si>
  <si>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</si>
  <si>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</si>
  <si>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</si>
  <si>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</si>
  <si>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</si>
  <si>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</si>
  <si>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</si>
  <si>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</si>
  <si>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</si>
  <si>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</si>
  <si>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</si>
  <si>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</si>
  <si>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</si>
  <si>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</si>
  <si>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</si>
  <si>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</si>
  <si>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</si>
  <si>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</si>
  <si>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</si>
  <si>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</si>
  <si>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</si>
  <si>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</si>
  <si>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</si>
  <si>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</si>
  <si>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</si>
  <si>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</si>
  <si>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</si>
  <si>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</si>
  <si>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</si>
  <si>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</si>
  <si>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</si>
  <si>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</si>
  <si>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</si>
  <si>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</si>
  <si>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</si>
  <si>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</si>
  <si>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</si>
  <si>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</si>
  <si>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</si>
  <si>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</si>
  <si>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</si>
  <si>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</si>
  <si>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</si>
  <si>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</si>
  <si>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</si>
  <si>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</si>
  <si>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</si>
  <si>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</si>
  <si>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</si>
  <si>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</si>
  <si>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</si>
  <si>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</si>
  <si>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</si>
  <si>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</si>
  <si>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</si>
  <si>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</si>
  <si>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</si>
  <si>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</si>
  <si>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</si>
  <si>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</si>
  <si>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</si>
  <si>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</si>
  <si>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</si>
  <si>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</si>
  <si>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</si>
  <si>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</si>
  <si>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</si>
  <si>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</si>
  <si>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</si>
  <si>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</si>
  <si>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</si>
  <si>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</si>
  <si>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</si>
  <si>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</si>
  <si>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</si>
  <si>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</si>
  <si>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</si>
  <si>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</si>
  <si>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</si>
  <si>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</si>
  <si>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</si>
  <si>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</si>
  <si>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</si>
  <si>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</si>
  <si>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</si>
  <si>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</si>
  <si>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</si>
  <si>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</si>
  <si>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</si>
  <si>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</si>
  <si>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</si>
  <si>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</si>
  <si>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</si>
  <si>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</si>
  <si>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</si>
  <si>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</si>
  <si>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</si>
  <si>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</si>
  <si>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</si>
  <si>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</si>
  <si>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</si>
  <si>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</si>
  <si>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</si>
  <si>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</si>
  <si>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</si>
  <si>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</si>
  <si>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</si>
  <si>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</si>
  <si>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</si>
  <si>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</si>
  <si>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</si>
  <si>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</si>
  <si>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</si>
  <si>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</si>
  <si>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</si>
  <si>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</si>
  <si>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</si>
  <si>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</si>
  <si>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</si>
  <si>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</si>
  <si>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</si>
  <si>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</si>
  <si>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</si>
  <si>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</si>
  <si>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</si>
  <si>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</si>
  <si>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</si>
  <si>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</si>
  <si>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</si>
  <si>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</si>
  <si>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</si>
  <si>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</si>
  <si>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</si>
  <si>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</si>
  <si>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</si>
  <si>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</si>
  <si>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</si>
  <si>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</si>
  <si>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</si>
  <si>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</si>
  <si>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</si>
  <si>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</si>
  <si>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</si>
  <si>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</si>
  <si>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</si>
  <si>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</si>
  <si>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</si>
  <si>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</si>
  <si>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</si>
  <si>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</si>
  <si>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</si>
  <si>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</si>
  <si>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</si>
  <si>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</si>
  <si>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</si>
  <si>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</si>
  <si>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</si>
  <si>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</si>
  <si>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</si>
  <si>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</si>
  <si>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</si>
  <si>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</si>
  <si>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</si>
  <si>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</si>
  <si>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</si>
  <si>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</si>
  <si>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</si>
  <si>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</si>
  <si>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</si>
  <si>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</si>
  <si>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</si>
  <si>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</si>
  <si>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</si>
  <si>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</si>
  <si>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</si>
  <si>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</si>
  <si>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</si>
  <si>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</si>
  <si>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</si>
  <si>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</si>
  <si>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</si>
  <si>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</si>
  <si>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</si>
  <si>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</si>
  <si>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</si>
  <si>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</si>
  <si>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</si>
  <si>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</si>
  <si>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</si>
  <si>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</si>
  <si>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</si>
  <si>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</si>
  <si>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</si>
  <si>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</si>
  <si>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</si>
  <si>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</si>
  <si>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</si>
  <si>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</si>
  <si>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</si>
  <si>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</si>
  <si>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</si>
  <si>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</si>
  <si>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</si>
  <si>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</si>
  <si>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</si>
  <si>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</si>
  <si>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</si>
  <si>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</si>
  <si>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</si>
  <si>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</si>
  <si>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</si>
  <si>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</si>
  <si>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</si>
  <si>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</si>
  <si>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</si>
  <si>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</si>
  <si>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</si>
  <si>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</si>
  <si>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</si>
  <si>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</si>
  <si>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</si>
  <si>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</si>
  <si>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</si>
  <si>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</si>
  <si>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</si>
  <si>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</si>
  <si>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</si>
  <si>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</si>
  <si>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</si>
  <si>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</si>
  <si>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</si>
  <si>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</si>
  <si>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</si>
  <si>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</si>
  <si>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</si>
  <si>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</si>
  <si>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</si>
  <si>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</si>
  <si>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</si>
  <si>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</si>
  <si>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</si>
  <si>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</si>
  <si>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</si>
  <si>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</si>
  <si>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</si>
  <si>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</si>
  <si>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</si>
  <si>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</si>
  <si>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</si>
  <si>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</si>
  <si>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</si>
  <si>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</si>
  <si>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</si>
  <si>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</si>
  <si>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</si>
  <si>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</si>
  <si>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</si>
  <si>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</si>
  <si>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</si>
  <si>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</si>
  <si>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</si>
  <si>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</si>
  <si>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</si>
  <si>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</si>
  <si>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</si>
  <si>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</si>
  <si>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</si>
  <si>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</si>
  <si>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</si>
  <si>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</si>
  <si>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</si>
  <si>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</si>
  <si>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</si>
  <si>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</si>
  <si>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</si>
  <si>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</si>
  <si>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</si>
  <si>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</si>
  <si>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</si>
  <si>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</si>
  <si>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</si>
  <si>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</si>
  <si>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</si>
  <si>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</si>
  <si>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</si>
  <si>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</si>
  <si>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</si>
  <si>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</si>
  <si>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</si>
  <si>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</si>
  <si>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</si>
  <si>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</si>
  <si>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</si>
  <si>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</si>
  <si>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</si>
  <si>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</si>
  <si>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</si>
  <si>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</si>
  <si>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</si>
  <si>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</si>
  <si>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</si>
  <si>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</si>
  <si>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</si>
  <si>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</si>
  <si>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</si>
  <si>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</si>
  <si>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</si>
  <si>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</si>
  <si>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</si>
  <si>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</si>
  <si>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</si>
  <si>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</si>
  <si>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</si>
  <si>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</si>
  <si>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</si>
  <si>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</si>
  <si>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</si>
  <si>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</si>
  <si>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</si>
  <si>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</si>
  <si>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</si>
  <si>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</si>
  <si>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</si>
  <si>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</si>
  <si>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</si>
  <si>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</si>
  <si>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</si>
  <si>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</si>
  <si>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</si>
  <si>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</si>
  <si>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</si>
  <si>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</si>
  <si>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</si>
  <si>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</si>
  <si>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</si>
  <si>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</si>
  <si>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</si>
  <si>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</si>
  <si>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</si>
  <si>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</si>
  <si>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</si>
  <si>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</si>
  <si>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</si>
  <si>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</si>
  <si>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</si>
  <si>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</si>
  <si>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</si>
  <si>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</si>
  <si>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</si>
  <si>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</si>
  <si>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</si>
  <si>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</si>
  <si>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</si>
  <si>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</si>
  <si>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</si>
  <si>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</si>
  <si>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</si>
  <si>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</si>
  <si>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</si>
  <si>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</si>
  <si>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</si>
  <si>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</si>
  <si>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</si>
  <si>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</si>
  <si>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</si>
  <si>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</si>
  <si>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</si>
  <si>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</si>
  <si>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</si>
  <si>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</si>
  <si>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</si>
  <si>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</si>
  <si>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</si>
  <si>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</si>
  <si>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</si>
  <si>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</si>
  <si>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</si>
  <si>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</si>
  <si>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</si>
  <si>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</si>
  <si>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</si>
  <si>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</si>
  <si>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</si>
  <si>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</si>
  <si>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</si>
  <si>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</si>
  <si>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</si>
  <si>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</si>
  <si>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</si>
  <si>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</si>
  <si>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</si>
  <si>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</si>
  <si>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</si>
  <si>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</si>
  <si>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</si>
  <si>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</si>
  <si>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</si>
  <si>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</si>
  <si>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</si>
  <si>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</si>
  <si>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</si>
  <si>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</si>
  <si>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</si>
  <si>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</si>
  <si>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</si>
  <si>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</si>
  <si>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</si>
  <si>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</si>
  <si>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</si>
  <si>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</si>
  <si>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</si>
  <si>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</si>
  <si>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</si>
  <si>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</si>
  <si>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</si>
  <si>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</si>
  <si>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</si>
  <si>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</si>
  <si>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</si>
  <si>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</si>
  <si>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</si>
  <si>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</si>
  <si>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</si>
  <si>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</si>
  <si>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</si>
  <si>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</si>
  <si>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</si>
  <si>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</si>
  <si>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</si>
  <si>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</si>
  <si>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</si>
  <si>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</si>
  <si>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</si>
  <si>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</si>
  <si>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</si>
  <si>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</si>
  <si>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</si>
  <si>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</si>
  <si>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</si>
  <si>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</si>
  <si>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</si>
  <si>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</si>
  <si>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</si>
  <si>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</si>
  <si>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</si>
  <si>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</si>
  <si>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</si>
  <si>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</si>
  <si>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</si>
  <si>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</si>
  <si>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</si>
  <si>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</si>
  <si>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</si>
  <si>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</si>
  <si>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</si>
  <si>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</si>
  <si>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</si>
  <si>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</si>
  <si>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</si>
  <si>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</si>
  <si>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</si>
  <si>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</si>
  <si>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</si>
  <si>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</si>
  <si>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</si>
  <si>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</si>
  <si>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</si>
  <si>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</si>
  <si>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</si>
  <si>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</si>
  <si>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</si>
  <si>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</si>
  <si>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</si>
  <si>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</si>
  <si>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</si>
  <si>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</si>
  <si>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</si>
  <si>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</si>
  <si>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</si>
  <si>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</si>
  <si>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</si>
  <si>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</si>
  <si>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</si>
  <si>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</si>
  <si>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</si>
  <si>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</si>
  <si>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</si>
  <si>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</si>
  <si>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</si>
  <si>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</si>
  <si>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</si>
  <si>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</si>
  <si>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</si>
  <si>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</si>
  <si>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</si>
  <si>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</si>
  <si>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</si>
  <si>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</si>
  <si>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</si>
  <si>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</si>
  <si>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</si>
  <si>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</si>
  <si>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</si>
  <si>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</si>
  <si>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</si>
  <si>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</si>
  <si>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</si>
  <si>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</si>
  <si>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</si>
  <si>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</si>
  <si>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</si>
  <si>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</si>
  <si>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</si>
  <si>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</si>
  <si>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</si>
  <si>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</si>
  <si>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</si>
  <si>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</si>
  <si>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</si>
  <si>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</si>
  <si>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</si>
  <si>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</si>
  <si>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</si>
  <si>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</si>
  <si>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</si>
  <si>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</si>
  <si>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</si>
  <si>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</si>
  <si>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</si>
  <si>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</si>
  <si>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</si>
  <si>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</si>
  <si>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</si>
  <si>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</si>
  <si>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</si>
  <si>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</si>
  <si>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</si>
  <si>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</si>
  <si>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</si>
  <si>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</si>
  <si>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</si>
  <si>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</si>
  <si>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</si>
  <si>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</si>
  <si>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</si>
  <si>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</si>
  <si>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</si>
  <si>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</si>
  <si>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</si>
  <si>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</si>
  <si>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</si>
  <si>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</si>
  <si>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</si>
  <si>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</si>
  <si>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</si>
  <si>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</si>
  <si>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</si>
  <si>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</si>
  <si>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</si>
  <si>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</si>
  <si>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</si>
  <si>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</si>
  <si>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</si>
  <si>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</si>
  <si>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</si>
  <si>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</si>
  <si>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</si>
  <si>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</si>
  <si>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</si>
  <si>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</si>
  <si>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</si>
  <si>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</si>
  <si>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</si>
  <si>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</si>
  <si>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</si>
  <si>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</si>
  <si>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</si>
  <si>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</si>
  <si>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</si>
  <si>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</si>
  <si>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</si>
  <si>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</si>
  <si>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</si>
  <si>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</si>
  <si>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</si>
  <si>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</si>
  <si>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</si>
  <si>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</si>
  <si>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</si>
  <si>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</si>
  <si>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</si>
  <si>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</si>
  <si>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</si>
  <si>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</si>
  <si>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</si>
  <si>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</si>
  <si>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</si>
  <si>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</si>
  <si>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</si>
  <si>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</si>
  <si>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</si>
  <si>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</si>
  <si>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</si>
  <si>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</si>
  <si>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</si>
  <si>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</si>
  <si>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</si>
  <si>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</si>
  <si>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</si>
  <si>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</si>
  <si>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</si>
  <si>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</si>
  <si>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</si>
  <si>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</si>
  <si>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</si>
  <si>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</si>
  <si>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</si>
  <si>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</si>
  <si>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</si>
  <si>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</si>
  <si>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</si>
  <si>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</si>
  <si>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</si>
  <si>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</si>
  <si>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</si>
  <si>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</si>
  <si>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</si>
  <si>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</si>
  <si>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</si>
  <si>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</si>
  <si>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</si>
  <si>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</si>
  <si>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</si>
  <si>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</si>
  <si>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</si>
  <si>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</si>
  <si>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</si>
  <si>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</si>
  <si>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</si>
  <si>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</si>
  <si>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</si>
  <si>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</si>
  <si>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</si>
  <si>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</si>
  <si>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</si>
  <si>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</si>
  <si>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</si>
  <si>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</si>
  <si>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</si>
  <si>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</si>
  <si>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</si>
  <si>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</si>
  <si>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</si>
  <si>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</si>
  <si>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</si>
  <si>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</si>
  <si>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</si>
  <si>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</si>
  <si>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</si>
  <si>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</si>
  <si>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</si>
  <si>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</si>
  <si>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</si>
  <si>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</si>
  <si>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</si>
  <si>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</si>
  <si>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</si>
  <si>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</si>
  <si>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</si>
  <si>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</si>
  <si>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</si>
  <si>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</si>
  <si>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</si>
  <si>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</si>
  <si>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</si>
  <si>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</si>
  <si>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</si>
  <si>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</si>
  <si>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</si>
  <si>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</si>
  <si>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</si>
  <si>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</si>
  <si>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</si>
  <si>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</si>
  <si>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</si>
  <si>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</si>
  <si>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</si>
  <si>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</si>
  <si>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</si>
  <si>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</si>
  <si>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</si>
  <si>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</si>
  <si>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</si>
  <si>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</si>
  <si>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</si>
  <si>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</si>
  <si>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</si>
  <si>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</si>
  <si>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</si>
  <si>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</si>
  <si>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</si>
  <si>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</si>
  <si>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</si>
  <si>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</si>
  <si>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</si>
  <si>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</si>
  <si>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</si>
  <si>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</si>
  <si>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</si>
  <si>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</si>
  <si>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</si>
  <si>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</si>
  <si>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</si>
  <si>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</si>
  <si>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</si>
  <si>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</si>
  <si>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</si>
  <si>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</si>
  <si>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</si>
  <si>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</si>
  <si>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</si>
  <si>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</si>
  <si>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</si>
  <si>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</si>
  <si>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</si>
  <si>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</si>
  <si>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</si>
  <si>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</si>
  <si>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</si>
  <si>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</si>
  <si>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</si>
  <si>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</si>
  <si>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</si>
  <si>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</si>
  <si>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</si>
  <si>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</si>
  <si>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</si>
  <si>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</si>
  <si>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</si>
  <si>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</si>
  <si>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</si>
  <si>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</si>
  <si>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</si>
  <si>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</si>
  <si>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</si>
  <si>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</si>
  <si>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</si>
  <si>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</si>
  <si>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</si>
  <si>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</si>
  <si>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</si>
  <si>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</si>
  <si>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</si>
  <si>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</si>
  <si>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</si>
  <si>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</si>
  <si>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</si>
  <si>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</si>
  <si>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</si>
  <si>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</si>
  <si>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</si>
  <si>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</si>
  <si>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</si>
  <si>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</si>
  <si>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</si>
  <si>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</si>
  <si>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</si>
  <si>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</si>
  <si>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</si>
  <si>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</si>
  <si>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</si>
  <si>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</si>
  <si>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</si>
  <si>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</si>
  <si>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</si>
  <si>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</si>
  <si>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</si>
  <si>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</si>
  <si>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</si>
  <si>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</si>
  <si>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</si>
  <si>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</si>
  <si>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</si>
  <si>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</si>
  <si>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</si>
  <si>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</si>
  <si>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</si>
  <si>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</si>
  <si>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</si>
  <si>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</si>
  <si>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</si>
  <si>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</si>
  <si>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</si>
  <si>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</si>
  <si>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</si>
  <si>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</si>
  <si>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</si>
  <si>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</si>
  <si>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</si>
  <si>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</si>
  <si>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</si>
  <si>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</si>
  <si>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</si>
  <si>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</si>
  <si>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</si>
  <si>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</si>
  <si>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</si>
  <si>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</si>
  <si>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</si>
  <si>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</si>
  <si>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</si>
  <si>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</si>
  <si>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</si>
  <si>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</si>
  <si>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</si>
  <si>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</si>
  <si>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</si>
  <si>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</si>
  <si>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</si>
  <si>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</si>
  <si>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</si>
  <si>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</si>
  <si>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</si>
  <si>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</si>
  <si>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</si>
  <si>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</si>
  <si>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</si>
  <si>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</si>
  <si>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</si>
  <si>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</si>
  <si>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</si>
  <si>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</si>
  <si>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</si>
  <si>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</si>
  <si>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</si>
  <si>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</si>
  <si>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</si>
  <si>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</si>
  <si>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</si>
  <si>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</si>
  <si>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</si>
  <si>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</si>
  <si>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</si>
  <si>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</si>
  <si>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</si>
  <si>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</si>
  <si>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</si>
  <si>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</si>
  <si>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</si>
  <si>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</si>
  <si>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</si>
  <si>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</si>
  <si>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</si>
  <si>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</si>
  <si>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</si>
  <si>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</si>
  <si>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</si>
  <si>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</si>
  <si>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</si>
  <si>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</si>
  <si>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</si>
  <si>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</si>
  <si>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</si>
  <si>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</si>
  <si>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</si>
  <si>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</si>
  <si>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</si>
  <si>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</si>
  <si>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</si>
  <si>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</si>
  <si>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</si>
  <si>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</si>
  <si>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</si>
  <si>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</si>
  <si>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</si>
  <si>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</si>
  <si>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</si>
  <si>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</si>
  <si>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</si>
  <si>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</si>
  <si>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</si>
  <si>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</si>
  <si>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</si>
  <si>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</si>
  <si>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</si>
  <si>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</si>
  <si>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</si>
  <si>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</si>
  <si>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</si>
  <si>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</si>
  <si>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</si>
  <si>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</si>
  <si>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</si>
  <si>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</si>
  <si>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</si>
  <si>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</si>
  <si>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</si>
  <si>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</si>
  <si>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</si>
  <si>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</si>
  <si>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</si>
  <si>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</si>
  <si>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</si>
  <si>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</si>
  <si>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</si>
  <si>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</si>
  <si>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</si>
  <si>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</si>
  <si>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</si>
  <si>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</si>
  <si>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</si>
  <si>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</si>
  <si>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</si>
  <si>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</si>
  <si>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</si>
  <si>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</si>
  <si>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</si>
  <si>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</si>
  <si>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</si>
  <si>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</si>
  <si>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</si>
  <si>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</si>
  <si>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</si>
  <si>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</si>
  <si>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</si>
  <si>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</si>
  <si>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</si>
  <si>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</si>
  <si>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</si>
  <si>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</si>
  <si>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</si>
  <si>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</si>
  <si>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</si>
  <si>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</si>
  <si>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</si>
  <si>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</si>
  <si>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</si>
  <si>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</si>
  <si>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</si>
  <si>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</si>
  <si>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</si>
  <si>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</si>
  <si>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</si>
  <si>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</si>
  <si>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</si>
  <si>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</si>
  <si>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</si>
  <si>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</si>
  <si>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</si>
  <si>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</si>
  <si>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</si>
  <si>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</si>
  <si>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</si>
  <si>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</si>
  <si>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</si>
  <si>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</si>
  <si>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</si>
  <si>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</si>
  <si>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</si>
  <si>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</si>
  <si>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</si>
  <si>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</si>
  <si>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</si>
  <si>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</si>
  <si>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</si>
  <si>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</si>
  <si>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</si>
  <si>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</si>
  <si>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</si>
  <si>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</si>
  <si>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</si>
  <si>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</si>
  <si>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</si>
  <si>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</si>
  <si>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</si>
  <si>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</si>
  <si>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</si>
  <si>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</si>
  <si>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</si>
  <si>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</si>
  <si>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</si>
  <si>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</si>
  <si>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</si>
  <si>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</si>
  <si>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</si>
  <si>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</si>
  <si>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</si>
  <si>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</si>
  <si>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</si>
  <si>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</si>
  <si>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</si>
  <si>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</si>
  <si>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</si>
  <si>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</si>
  <si>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</si>
  <si>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</si>
  <si>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</si>
  <si>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</si>
  <si>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</si>
  <si>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</si>
  <si>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</si>
  <si>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</si>
  <si>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</si>
  <si>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</si>
  <si>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</si>
  <si>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</si>
  <si>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</si>
  <si>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</si>
  <si>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</si>
  <si>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</si>
  <si>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</si>
  <si>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</si>
  <si>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</si>
  <si>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</si>
  <si>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</si>
  <si>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</si>
  <si>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</si>
  <si>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</si>
  <si>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</si>
  <si>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</si>
  <si>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</si>
  <si>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</si>
  <si>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</si>
  <si>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</si>
  <si>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</si>
  <si>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</si>
  <si>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</si>
  <si>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</si>
  <si>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</si>
  <si>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</si>
  <si>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</si>
  <si>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</si>
  <si>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</si>
  <si>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</si>
  <si>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</si>
  <si>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</si>
  <si>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</si>
  <si>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</si>
  <si>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</si>
  <si>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</si>
  <si>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</si>
  <si>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</si>
  <si>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</si>
  <si>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</si>
  <si>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</si>
  <si>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</si>
  <si>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</si>
  <si>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</si>
  <si>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</si>
  <si>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</si>
  <si>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</si>
  <si>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</si>
  <si>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</si>
  <si>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</si>
  <si>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</si>
  <si>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</si>
  <si>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</si>
  <si>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</si>
  <si>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</si>
  <si>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</si>
  <si>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</si>
  <si>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</si>
  <si>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</si>
  <si>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</si>
  <si>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</si>
  <si>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</si>
  <si>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</si>
  <si>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</si>
  <si>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</si>
  <si>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</si>
  <si>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</si>
  <si>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</si>
  <si>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</si>
  <si>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</si>
  <si>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</si>
  <si>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</si>
  <si>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</si>
  <si>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</si>
  <si>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</si>
  <si>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</si>
  <si>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</si>
  <si>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</si>
  <si>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</si>
  <si>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</si>
  <si>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</si>
  <si>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</si>
  <si>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</si>
  <si>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</si>
  <si>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</si>
  <si>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</si>
  <si>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</si>
  <si>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</si>
  <si>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</si>
  <si>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</si>
  <si>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</si>
  <si>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</si>
  <si>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</si>
  <si>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</si>
  <si>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</si>
  <si>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</si>
  <si>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</si>
  <si>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</si>
  <si>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</si>
  <si>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</si>
  <si>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</si>
  <si>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</si>
  <si>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</si>
  <si>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</si>
  <si>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</si>
  <si>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</si>
  <si>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</si>
  <si>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</si>
  <si>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</si>
  <si>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</si>
  <si>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</si>
  <si>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</si>
  <si>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</si>
  <si>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</si>
  <si>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</si>
  <si>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</si>
  <si>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</si>
  <si>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</si>
  <si>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</si>
  <si>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</si>
  <si>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</si>
  <si>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</si>
  <si>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</si>
  <si>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</si>
  <si>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</si>
  <si>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</si>
  <si>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</si>
  <si>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</si>
  <si>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</si>
  <si>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</si>
  <si>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</si>
  <si>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</si>
  <si>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</si>
  <si>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</si>
  <si>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</si>
  <si>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</si>
  <si>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</si>
  <si>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</si>
  <si>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</si>
  <si>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</si>
  <si>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</si>
  <si>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</si>
  <si>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</si>
  <si>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</si>
  <si>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</si>
  <si>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</si>
  <si>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</si>
  <si>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</si>
  <si>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</si>
  <si>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</si>
  <si>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</si>
  <si>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</si>
  <si>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</si>
  <si>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</si>
  <si>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</si>
  <si>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</si>
  <si>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</si>
  <si>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</si>
  <si>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</si>
  <si>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</si>
  <si>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</si>
  <si>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</si>
  <si>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</si>
  <si>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</si>
  <si>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</si>
  <si>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</si>
  <si>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</si>
  <si>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</si>
  <si>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</si>
  <si>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</si>
  <si>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</si>
  <si>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</si>
  <si>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</si>
  <si>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</si>
  <si>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</si>
  <si>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</si>
  <si>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</si>
  <si>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</si>
  <si>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</si>
  <si>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</si>
  <si>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</si>
  <si>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</si>
  <si>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</si>
  <si>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</si>
  <si>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</si>
  <si>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</si>
  <si>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</si>
  <si>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</si>
  <si>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</si>
  <si>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</si>
  <si>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</si>
  <si>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</si>
  <si>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</si>
  <si>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</si>
  <si>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</si>
  <si>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</si>
  <si>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</si>
  <si>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</si>
  <si>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</si>
  <si>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</si>
  <si>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</si>
  <si>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</si>
  <si>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</si>
  <si>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</si>
  <si>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</si>
  <si>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</si>
  <si>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</si>
  <si>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</si>
  <si>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</si>
  <si>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</si>
  <si>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</si>
  <si>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</si>
  <si>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</si>
  <si>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</si>
  <si>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</si>
  <si>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</si>
  <si>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</si>
  <si>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</si>
  <si>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</si>
  <si>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</si>
  <si>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</si>
  <si>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</si>
  <si>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</si>
  <si>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</si>
  <si>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</si>
  <si>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</si>
  <si>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</si>
  <si>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</si>
  <si>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</si>
  <si>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</si>
  <si>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</si>
  <si>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</si>
  <si>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</si>
  <si>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</si>
  <si>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</si>
  <si>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</si>
  <si>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</si>
  <si>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</si>
  <si>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</si>
  <si>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</si>
  <si>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</si>
  <si>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</si>
  <si>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</si>
  <si>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</si>
  <si>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</si>
  <si>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</si>
  <si>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</si>
  <si>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</si>
  <si>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</si>
  <si>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</si>
  <si>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</si>
  <si>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</si>
  <si>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</si>
  <si>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</si>
  <si>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</si>
  <si>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</si>
  <si>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</si>
  <si>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</si>
  <si>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</si>
  <si>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</si>
  <si>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</si>
  <si>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</si>
  <si>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</si>
  <si>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</si>
  <si>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</si>
  <si>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</si>
  <si>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</si>
  <si>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</si>
  <si>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</si>
  <si>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</si>
  <si>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</si>
  <si>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</si>
  <si>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</si>
  <si>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</si>
  <si>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</si>
  <si>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</si>
  <si>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</si>
  <si>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</si>
  <si>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</si>
  <si>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</si>
  <si>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</si>
  <si>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</si>
  <si>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</si>
  <si>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</si>
  <si>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</si>
  <si>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</si>
  <si>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</si>
  <si>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</si>
  <si>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</si>
  <si>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</si>
  <si>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</si>
  <si>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</si>
  <si>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</si>
  <si>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</si>
  <si>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</si>
  <si>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</si>
  <si>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</si>
  <si>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</si>
  <si>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</si>
  <si>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</si>
  <si>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</si>
  <si>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</si>
  <si>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</si>
  <si>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</si>
  <si>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</si>
  <si>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</si>
  <si>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</si>
  <si>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</si>
  <si>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</si>
  <si>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</si>
  <si>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</si>
  <si>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</si>
  <si>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</si>
  <si>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</si>
  <si>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</si>
  <si>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</si>
  <si>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</si>
  <si>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</si>
  <si>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</si>
  <si>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</si>
  <si>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</si>
  <si>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</si>
  <si>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</si>
  <si>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</si>
  <si>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</si>
  <si>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</si>
  <si>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</si>
  <si>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</si>
  <si>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</si>
  <si>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</si>
  <si>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</si>
  <si>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</si>
  <si>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</si>
  <si>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</si>
  <si>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</si>
  <si>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</si>
  <si>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</si>
  <si>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</si>
  <si>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</si>
  <si>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</si>
  <si>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</si>
  <si>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</si>
  <si>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</si>
  <si>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</si>
  <si>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</si>
  <si>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</si>
  <si>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</si>
  <si>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</si>
  <si>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</si>
  <si>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</si>
  <si>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</si>
  <si>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</si>
  <si>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</si>
  <si>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</si>
  <si>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</si>
  <si>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</si>
  <si>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</si>
  <si>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</si>
  <si>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</si>
  <si>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</si>
  <si>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</si>
  <si>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</si>
  <si>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</si>
  <si>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</si>
  <si>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</si>
  <si>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</si>
  <si>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</si>
  <si>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</si>
  <si>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</si>
  <si>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</si>
  <si>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</si>
  <si>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</si>
  <si>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</si>
  <si>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</si>
  <si>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</si>
  <si>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</si>
  <si>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</si>
  <si>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</si>
  <si>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</si>
  <si>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</si>
  <si>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</si>
  <si>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</si>
  <si>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</si>
  <si>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</si>
  <si>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</si>
  <si>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</si>
  <si>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</si>
  <si>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</si>
  <si>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</si>
  <si>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</si>
  <si>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</si>
  <si>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</si>
  <si>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</si>
  <si>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</si>
  <si>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</si>
  <si>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</si>
  <si>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</si>
  <si>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</si>
  <si>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</si>
  <si>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</si>
  <si>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</si>
  <si>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</si>
  <si>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</si>
  <si>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</si>
  <si>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</si>
  <si>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</si>
  <si>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</si>
  <si>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</si>
  <si>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</si>
  <si>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</si>
  <si>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</si>
  <si>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</si>
  <si>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</si>
  <si>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</si>
  <si>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</si>
  <si>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</si>
  <si>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</si>
  <si>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</si>
  <si>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</si>
  <si>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</si>
  <si>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</si>
  <si>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</si>
  <si>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</si>
  <si>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</si>
  <si>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</si>
  <si>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</si>
  <si>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</si>
  <si>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</si>
  <si>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</si>
  <si>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</si>
  <si>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</si>
  <si>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</si>
  <si>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</si>
  <si>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</si>
  <si>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</si>
  <si>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</si>
  <si>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</si>
  <si>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</si>
  <si>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</si>
  <si>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</si>
  <si>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</si>
  <si>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</si>
  <si>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</si>
  <si>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</si>
  <si>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</si>
  <si>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</si>
  <si>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</si>
  <si>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</si>
  <si>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</si>
  <si>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</si>
  <si>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</si>
  <si>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</si>
  <si>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</si>
  <si>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</si>
  <si>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</si>
  <si>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</si>
  <si>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</si>
  <si>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</si>
  <si>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</si>
  <si>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</si>
  <si>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</si>
  <si>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</si>
  <si>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</si>
  <si>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</si>
  <si>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</si>
  <si>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</si>
  <si>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</si>
  <si>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</si>
  <si>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</si>
  <si>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</si>
  <si>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</si>
  <si>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</si>
  <si>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</si>
  <si>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</si>
  <si>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</si>
  <si>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</si>
  <si>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</si>
  <si>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</si>
  <si>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</si>
  <si>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</si>
  <si>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</si>
  <si>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</si>
  <si>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</si>
  <si>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</si>
  <si>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</si>
  <si>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</si>
  <si>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</si>
  <si>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</si>
  <si>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</si>
  <si>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</si>
  <si>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</si>
  <si>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</si>
  <si>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</si>
  <si>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</si>
  <si>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</si>
  <si>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</si>
  <si>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</si>
  <si>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</si>
  <si>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</si>
  <si>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</si>
  <si>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</si>
  <si>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</si>
  <si>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</si>
  <si>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</si>
  <si>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</si>
  <si>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</si>
  <si>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</si>
  <si>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</si>
  <si>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</si>
  <si>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</si>
  <si>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</si>
  <si>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</si>
  <si>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</si>
  <si>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</si>
  <si>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</si>
  <si>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</si>
  <si>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</si>
  <si>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</si>
  <si>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</si>
  <si>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</si>
  <si>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</si>
  <si>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</si>
  <si>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</si>
  <si>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</si>
  <si>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</si>
  <si>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</si>
  <si>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</si>
  <si>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</si>
  <si>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</si>
  <si>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</si>
  <si>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</si>
  <si>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</si>
  <si>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</si>
  <si>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</si>
  <si>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</si>
  <si>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</si>
  <si>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</si>
  <si>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</si>
  <si>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</si>
  <si>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</si>
  <si>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</si>
  <si>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</si>
  <si>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</si>
  <si>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</si>
  <si>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</si>
  <si>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</si>
  <si>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</si>
  <si>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</si>
  <si>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</si>
  <si>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</si>
  <si>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</si>
  <si>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</si>
  <si>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</si>
  <si>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</si>
  <si>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</si>
  <si>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</si>
  <si>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</si>
  <si>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</si>
  <si>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</si>
  <si>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</si>
  <si>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</si>
  <si>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</si>
  <si>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</si>
  <si>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</si>
  <si>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</si>
  <si>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</si>
  <si>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</si>
  <si>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</si>
  <si>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</si>
  <si>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</si>
  <si>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</si>
  <si>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</si>
  <si>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</si>
  <si>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</si>
  <si>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</si>
  <si>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</si>
  <si>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</si>
  <si>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</si>
  <si>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</si>
  <si>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</si>
  <si>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</si>
  <si>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</si>
  <si>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</si>
  <si>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</si>
  <si>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</si>
  <si>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</si>
  <si>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</si>
  <si>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</si>
  <si>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</si>
  <si>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</si>
  <si>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</si>
  <si>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</si>
  <si>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</si>
  <si>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</si>
  <si>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</si>
  <si>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</si>
  <si>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</si>
  <si>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</si>
  <si>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</si>
  <si>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</si>
  <si>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</si>
  <si>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</si>
  <si>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</si>
  <si>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</si>
  <si>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</si>
  <si>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</si>
  <si>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</si>
  <si>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</si>
  <si>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</si>
  <si>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</si>
  <si>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</si>
  <si>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</si>
  <si>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</si>
  <si>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</si>
  <si>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</si>
  <si>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</si>
  <si>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</si>
  <si>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</si>
  <si>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</si>
  <si>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</si>
  <si>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</si>
  <si>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</si>
  <si>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</si>
  <si>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</si>
  <si>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</si>
  <si>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</si>
  <si>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</si>
  <si>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</si>
  <si>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</si>
  <si>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</si>
  <si>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</si>
  <si>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</si>
  <si>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</si>
  <si>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</si>
  <si>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</si>
  <si>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</si>
  <si>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</si>
  <si>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</si>
  <si>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</si>
  <si>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</si>
  <si>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</si>
  <si>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</si>
  <si>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</si>
  <si>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</si>
  <si>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</si>
  <si>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</si>
  <si>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</si>
  <si>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</si>
  <si>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</si>
  <si>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</si>
  <si>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</si>
  <si>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</si>
  <si>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</si>
  <si>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</si>
  <si>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</si>
  <si>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</si>
  <si>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</si>
  <si>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</si>
  <si>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</si>
  <si>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</si>
  <si>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</si>
  <si>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</si>
  <si>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</si>
  <si>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</si>
  <si>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</si>
  <si>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</si>
  <si>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</si>
  <si>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</si>
  <si>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</si>
  <si>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</si>
  <si>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</si>
  <si>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</si>
  <si>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</si>
  <si>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</si>
  <si>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</si>
  <si>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</si>
  <si>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</si>
  <si>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</si>
  <si>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</si>
  <si>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</si>
  <si>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</si>
  <si>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</si>
  <si>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</si>
  <si>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</si>
  <si>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</si>
  <si>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</si>
  <si>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</si>
  <si>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</si>
  <si>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</si>
  <si>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</si>
  <si>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</si>
  <si>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</si>
  <si>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</si>
  <si>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</si>
  <si>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</si>
  <si>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</si>
  <si>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</si>
  <si>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</si>
  <si>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</si>
  <si>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</si>
  <si>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</si>
  <si>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</si>
  <si>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</si>
  <si>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</si>
  <si>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</si>
  <si>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</si>
  <si>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</si>
  <si>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</si>
  <si>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</si>
  <si>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</si>
  <si>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</si>
  <si>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</si>
  <si>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</si>
  <si>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</si>
  <si>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</si>
  <si>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</si>
  <si>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</si>
  <si>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</si>
  <si>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</si>
  <si>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</si>
  <si>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</si>
  <si>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</si>
  <si>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</si>
  <si>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</si>
  <si>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</si>
  <si>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</si>
  <si>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</si>
  <si>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</si>
  <si>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</si>
  <si>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</si>
  <si>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</si>
  <si>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</si>
  <si>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</si>
  <si>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</si>
  <si>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</si>
  <si>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</si>
  <si>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</si>
  <si>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</si>
  <si>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</si>
  <si>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</si>
  <si>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</si>
  <si>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</si>
  <si>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</si>
  <si>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</si>
  <si>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</si>
  <si>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</si>
  <si>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</si>
  <si>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</si>
  <si>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</si>
  <si>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</si>
  <si>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</si>
  <si>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</si>
  <si>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</si>
  <si>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</si>
  <si>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</si>
  <si>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</si>
  <si>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</si>
  <si>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</si>
  <si>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</si>
  <si>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</si>
  <si>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</si>
  <si>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</si>
  <si>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</si>
  <si>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</si>
  <si>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</si>
  <si>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</si>
  <si>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</si>
  <si>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</si>
  <si>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</si>
  <si>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</si>
  <si>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</si>
  <si>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</si>
  <si>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</si>
  <si>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</si>
  <si>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</si>
  <si>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</si>
  <si>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</si>
  <si>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</si>
  <si>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</si>
  <si>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</si>
  <si>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</si>
  <si>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</si>
  <si>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</si>
  <si>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</si>
  <si>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</si>
  <si>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</si>
  <si>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</si>
  <si>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</si>
  <si>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</si>
  <si>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</si>
  <si>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</si>
  <si>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</si>
  <si>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</si>
  <si>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</si>
  <si>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</si>
  <si>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</si>
  <si>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</si>
  <si>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</si>
  <si>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</si>
  <si>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</si>
  <si>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</si>
  <si>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</si>
  <si>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</si>
  <si>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</si>
  <si>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</si>
  <si>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</si>
  <si>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</si>
  <si>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</si>
  <si>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</si>
  <si>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</si>
  <si>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</si>
  <si>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</si>
  <si>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</si>
  <si>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</si>
  <si>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</si>
  <si>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</si>
  <si>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</si>
  <si>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</si>
  <si>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</si>
  <si>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</si>
  <si>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</si>
  <si>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</si>
  <si>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</si>
  <si>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</si>
  <si>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</si>
  <si>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</si>
  <si>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</si>
  <si>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</si>
  <si>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</si>
  <si>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</si>
  <si>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</si>
  <si>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</si>
  <si>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</si>
  <si>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</si>
  <si>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</si>
  <si>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</si>
  <si>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</si>
  <si>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</si>
  <si>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</si>
  <si>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</si>
  <si>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</si>
  <si>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</si>
  <si>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</si>
  <si>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</si>
  <si>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</si>
  <si>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</si>
  <si>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</si>
  <si>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</si>
  <si>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</si>
  <si>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</si>
  <si>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</si>
  <si>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</si>
  <si>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</si>
  <si>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</si>
  <si>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</si>
  <si>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</si>
  <si>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</si>
  <si>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</si>
  <si>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</si>
  <si>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</si>
  <si>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</si>
  <si>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</si>
  <si>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</si>
  <si>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</si>
  <si>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</si>
  <si>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</si>
  <si>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</si>
  <si>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</si>
  <si>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</si>
  <si>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</si>
  <si>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</si>
  <si>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</si>
  <si>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</si>
  <si>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</si>
  <si>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</si>
  <si>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</si>
  <si>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</si>
  <si>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</si>
  <si>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</si>
  <si>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</si>
  <si>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</si>
  <si>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</si>
  <si>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</si>
  <si>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</si>
  <si>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</si>
  <si>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</si>
  <si>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</si>
  <si>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</si>
  <si>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</si>
  <si>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</si>
  <si>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</si>
  <si>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</si>
  <si>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</si>
  <si>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</si>
  <si>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</si>
  <si>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</si>
  <si>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</si>
  <si>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</si>
  <si>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</si>
  <si>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</si>
  <si>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</si>
  <si>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</si>
  <si>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</si>
  <si>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</si>
  <si>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</si>
  <si>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</si>
  <si>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</si>
  <si>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</si>
  <si>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</si>
  <si>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</si>
  <si>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</si>
  <si>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</si>
  <si>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</si>
  <si>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</si>
  <si>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</si>
  <si>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</si>
  <si>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</si>
  <si>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</si>
  <si>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</si>
  <si>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</si>
  <si>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</si>
  <si>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</si>
  <si>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</si>
  <si>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</si>
  <si>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</si>
  <si>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</si>
  <si>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</si>
  <si>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</si>
  <si>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</si>
  <si>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</si>
  <si>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</si>
  <si>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</si>
  <si>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</si>
  <si>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</si>
  <si>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</si>
  <si>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</si>
  <si>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</si>
  <si>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</si>
  <si>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</si>
  <si>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</si>
  <si>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</si>
  <si>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</si>
  <si>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</si>
  <si>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</si>
  <si>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</si>
  <si>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</si>
  <si>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</si>
  <si>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</si>
  <si>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</si>
  <si>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</si>
  <si>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</si>
  <si>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</si>
  <si>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</si>
  <si>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</si>
  <si>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</si>
  <si>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</si>
  <si>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</si>
  <si>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</si>
  <si>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</si>
  <si>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</si>
  <si>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</si>
  <si>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</si>
  <si>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</si>
  <si>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</si>
  <si>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</si>
  <si>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</si>
  <si>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</si>
  <si>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</si>
  <si>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</si>
  <si>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</si>
  <si>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</si>
  <si>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</si>
  <si>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</si>
  <si>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</si>
  <si>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</si>
  <si>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</si>
  <si>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</si>
  <si>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</si>
  <si>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</si>
  <si>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</si>
  <si>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</si>
  <si>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</si>
  <si>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</si>
  <si>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</si>
  <si>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</si>
  <si>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</si>
  <si>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</si>
  <si>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</si>
  <si>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</si>
  <si>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</si>
  <si>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</si>
  <si>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</si>
  <si>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</si>
  <si>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</si>
  <si>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</si>
  <si>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</si>
  <si>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</si>
  <si>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</si>
  <si>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</si>
  <si>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</si>
  <si>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</si>
  <si>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</si>
  <si>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</si>
  <si>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</si>
  <si>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</si>
  <si>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</si>
  <si>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</si>
  <si>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</si>
  <si>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</si>
  <si>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</si>
  <si>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</si>
  <si>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</si>
  <si>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</si>
  <si>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</si>
  <si>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</si>
  <si>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</si>
  <si>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</si>
  <si>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</si>
  <si>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</si>
  <si>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</si>
  <si>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</si>
  <si>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</si>
  <si>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</si>
  <si>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</si>
  <si>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</si>
  <si>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</si>
  <si>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</si>
  <si>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</si>
  <si>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</si>
  <si>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</si>
  <si>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</si>
  <si>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</si>
  <si>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</si>
  <si>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</si>
  <si>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</si>
  <si>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</si>
  <si>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</si>
  <si>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</si>
  <si>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</si>
  <si>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</si>
  <si>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</si>
  <si>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</si>
  <si>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</si>
  <si>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</si>
  <si>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</si>
  <si>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</si>
  <si>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</si>
  <si>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</si>
  <si>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</si>
  <si>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</si>
  <si>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</si>
  <si>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</si>
  <si>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</si>
  <si>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</si>
  <si>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</si>
  <si>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</si>
  <si>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</si>
  <si>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</si>
  <si>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</si>
  <si>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</si>
  <si>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</si>
  <si>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</si>
  <si>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</si>
  <si>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</si>
  <si>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</si>
  <si>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</si>
  <si>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</si>
  <si>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</si>
  <si>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</si>
  <si>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</si>
  <si>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</si>
  <si>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</si>
  <si>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</si>
  <si>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</si>
  <si>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</si>
  <si>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</si>
  <si>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</si>
  <si>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</si>
  <si>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</si>
  <si>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</si>
  <si>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</si>
  <si>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</si>
  <si>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</si>
  <si>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</si>
  <si>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</si>
  <si>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</si>
  <si>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</si>
  <si>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</si>
  <si>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</si>
  <si>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</si>
  <si>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</si>
  <si>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</si>
  <si>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</si>
  <si>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</si>
  <si>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</si>
  <si>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</si>
  <si>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</si>
  <si>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</si>
  <si>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</si>
  <si>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</si>
  <si>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</si>
  <si>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</si>
  <si>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</si>
  <si>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</si>
  <si>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</si>
  <si>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</si>
  <si>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</si>
  <si>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</si>
  <si>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</si>
  <si>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</si>
  <si>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</si>
  <si>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</si>
  <si>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</si>
  <si>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</si>
  <si>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</si>
  <si>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</si>
  <si>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</si>
  <si>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</si>
  <si>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</si>
  <si>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</si>
  <si>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</si>
  <si>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</si>
  <si>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</si>
  <si>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</si>
  <si>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</si>
  <si>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</si>
  <si>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</si>
  <si>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</si>
  <si>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</si>
  <si>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</si>
  <si>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</si>
  <si>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</si>
  <si>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</si>
  <si>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</si>
  <si>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</si>
  <si>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</si>
  <si>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</si>
  <si>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</si>
  <si>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</si>
  <si>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</si>
  <si>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</si>
  <si>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</si>
  <si>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</si>
  <si>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</si>
  <si>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</si>
  <si>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</si>
  <si>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</si>
  <si>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</si>
  <si>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</si>
  <si>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</si>
  <si>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</si>
  <si>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</si>
  <si>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</si>
  <si>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</si>
  <si>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</si>
  <si>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</si>
  <si>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</si>
  <si>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</si>
  <si>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</si>
  <si>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</si>
  <si>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</si>
  <si>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</si>
  <si>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</si>
  <si>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</si>
  <si>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</si>
  <si>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</si>
  <si>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</si>
  <si>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</si>
  <si>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</si>
  <si>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</si>
  <si>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</si>
  <si>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</si>
  <si>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</si>
  <si>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</si>
  <si>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</si>
  <si>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</si>
  <si>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</si>
  <si>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</si>
  <si>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</si>
  <si>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</si>
  <si>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</si>
  <si>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</si>
  <si>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</si>
  <si>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</si>
  <si>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</si>
  <si>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</si>
  <si>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</si>
  <si>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</si>
  <si>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</si>
  <si>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</si>
  <si>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</si>
  <si>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</si>
  <si>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</si>
  <si>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</si>
  <si>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</si>
  <si>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</si>
  <si>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</si>
  <si>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</si>
  <si>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</si>
  <si>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</si>
  <si>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</si>
  <si>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</si>
  <si>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</si>
  <si>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</si>
  <si>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</si>
  <si>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</si>
  <si>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</si>
  <si>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</si>
  <si>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</si>
  <si>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</si>
  <si>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</si>
  <si>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</si>
  <si>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</si>
  <si>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</si>
  <si>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</si>
  <si>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</si>
  <si>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</si>
  <si>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</si>
  <si>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</si>
  <si>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</si>
  <si>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</si>
  <si>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</si>
  <si>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</si>
  <si>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</si>
  <si>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</si>
  <si>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</si>
  <si>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</si>
  <si>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</si>
  <si>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</si>
  <si>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</si>
  <si>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</si>
  <si>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</si>
  <si>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</si>
  <si>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</si>
  <si>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</si>
  <si>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</si>
  <si>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</si>
  <si>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</si>
  <si>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</si>
  <si>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</si>
  <si>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</si>
  <si>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</si>
  <si>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</si>
  <si>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</si>
  <si>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</si>
  <si>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</si>
  <si>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</si>
  <si>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</si>
  <si>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</si>
  <si>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</si>
  <si>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</si>
  <si>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</si>
  <si>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</si>
  <si>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</si>
  <si>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</si>
  <si>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</si>
  <si>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</si>
  <si>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</si>
  <si>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</si>
  <si>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</si>
  <si>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</si>
  <si>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</si>
  <si>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</si>
  <si>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</si>
  <si>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</si>
  <si>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</si>
  <si>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</si>
  <si>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Innovative Power Products, Inc.</t>
  </si>
  <si>
    <t>The scope of Innovative Power Products is designing, manufacturing, and sales of RF and Microwave Passive Components.</t>
  </si>
  <si>
    <t>1170-8 Lincoln Ave., Holbrook, NY 11741</t>
  </si>
  <si>
    <t>631-563-0088</t>
  </si>
  <si>
    <t>Tom Passaro</t>
  </si>
  <si>
    <t>President</t>
  </si>
  <si>
    <t>tpassaro@innovativepp.com</t>
  </si>
  <si>
    <t>100%</t>
  </si>
  <si>
    <t>To the extent identified and reported by Innovative Power Products downstream suppliers.</t>
  </si>
  <si>
    <t>http:innovative.com/about-us/conflictminerals</t>
  </si>
  <si>
    <t>Element Solution's RMI 8/23/23</t>
  </si>
  <si>
    <t>Santron 8/8/23</t>
  </si>
  <si>
    <t>Element Solution's RMI 8/23/23 &amp; Inventec 8/29/23</t>
  </si>
  <si>
    <t>Element Solution's RMI 8/23/23 &amp; Santron 8/8/23 &amp; Inventec 8/28/23</t>
  </si>
  <si>
    <t>Inventec 8/29/23</t>
  </si>
  <si>
    <t>Element Solution's RMI 8/23/23 &amp; The Indium Corp. of America 8/24/23</t>
  </si>
  <si>
    <t>2781 Townline Road</t>
  </si>
  <si>
    <t>Anthony Arricale</t>
  </si>
  <si>
    <t>aaricale@unitedpmr.com</t>
  </si>
  <si>
    <t>None Required - RMI certified coflict free</t>
  </si>
  <si>
    <t>Element Solution's RMI 8/23/23 &amp; Inventec 8/29/23 &amp; The Indium of America 8/24/23</t>
  </si>
  <si>
    <t xml:space="preserve">Element Solution's RMI 8/23/23 &amp; Santron 8/8/23 &amp; Inventec 8/28/23 &amp; The Indium Corp. of America </t>
  </si>
  <si>
    <t xml:space="preserve">IPP purchases articals/components which contains tin from several sources icluding; Inventec Performance Chemicals, The Indium Corp. of America, and Element Solutions. All information is based on information that was transposed from their RMI latest tempale. Inventec &amp; The Indium Corp. of America  uses smelter Thaisarco which currently sorces some tin from Myanmar but only from the southern region of the country as per details in CID001898. Element Solutions obtain tin from RMI RMAP Approved (Luma Smelter Ltd -CID003387). </t>
  </si>
  <si>
    <t>dguiffre@innovativepp.com</t>
  </si>
  <si>
    <t>Dan Guiffre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</si>
</sst>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 fillId="0" borderId="0" xfId="487">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passaro@innovativep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dguiffre@innovativepp.com" TargetMode="External"/><Relationship Id="rId4" Type="http://schemas.openxmlformats.org/officeDocument/2006/relationships/hyperlink" Target="mailto:dguiffre@innovativep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5705A4-98E9-480E-8974-4F8149FD33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CF1462-952D-4803-B147-EAAC314694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15818</v>
      </c>
      <c r="E16" s="378"/>
      <c r="F16" s="378"/>
      <c r="G16" s="378"/>
      <c r="H16" s="378"/>
      <c r="I16" s="378"/>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15801</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15798</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45218</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81.75" customHeight="1">
      <c r="A39" s="41"/>
      <c r="B39" s="40" t="str">
        <f ca="1">OFFSET(L!$C$1,MATCH("Declaration"&amp;ADDRESS(ROW(),COLUMN(),4),L!$A:$A,0)-1,SL,,)&amp;P39</f>
        <v>Tin  (*)</v>
      </c>
      <c r="C39" s="10"/>
      <c r="D39" s="326" t="s">
        <v>488</v>
      </c>
      <c r="E39" s="327"/>
      <c r="F39" s="47"/>
      <c r="G39" s="328" t="s">
        <v>15817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77.25" customHeight="1">
      <c r="A45" s="41"/>
      <c r="B45" s="40" t="str">
        <f ca="1">OFFSET(L!$C$1,MATCH("Declaration"&amp;ADDRESS(ROW(),COLUMN(),4),L!$A:$A,0)-1,SL,,)&amp;P45</f>
        <v>Tin  (*)</v>
      </c>
      <c r="C45" s="10"/>
      <c r="D45" s="326" t="s">
        <v>488</v>
      </c>
      <c r="E45" s="327"/>
      <c r="F45" s="47"/>
      <c r="G45" s="328" t="s">
        <v>15817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t="s">
        <v>15803</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15803</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t="s">
        <v>15803</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2A3244E-8C3B-4980-8F6A-A5F1EAB1895E}"/>
    <hyperlink ref="D16" r:id="rId4" xr:uid="{8E01F268-B2FF-4DF5-B5CF-28C60EB87474}"/>
    <hyperlink ref="D16:J16" r:id="rId5" display="dguiffre@innovativepp.com" xr:uid="{D90F081A-DE0B-4EB9-AA4C-00E856AE3B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D1" zoomScale="115" zoomScaleNormal="115" zoomScalePageLayoutView="55" workbookViewId="0">
      <selection activeCell="A24" sqref="A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676</v>
      </c>
      <c r="B5" s="182" t="str">
        <f ca="1">IF(LEN(A5)=0,"",INDEX('Smelter Look-up'!$A:$A,MATCH($A5,'Smelter Look-up'!$E:$E,0)))</f>
        <v>Gold</v>
      </c>
      <c r="C5" s="186" t="str">
        <f ca="1">IF(LEN(A5)=0,"",INDEX('Smelter Look-up'!$C:$C,MATCH($A5,'Smelter Look-up'!$E:$E,0)))</f>
        <v>Heimerle + Meule GmbH</v>
      </c>
      <c r="D5" s="230"/>
      <c r="E5" s="182" t="str">
        <f ca="1">IF(ISERROR($V5),"",OFFSET('Smelter Look-up'!$D$4,$V5-4,0)&amp;"")</f>
        <v>GERMANY</v>
      </c>
      <c r="F5" s="182" t="str">
        <f ca="1">IF(ISERROR($V5),"",OFFSET('Smelter Look-up'!$E$4,$V5-4,0))</f>
        <v>CID000694</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t="s">
        <v>15805</v>
      </c>
      <c r="R5" s="182" t="str">
        <f ca="1">IF(ISERROR($V5),"",OFFSET('Smelter Look-up'!$C$4,$V5-4,0)&amp;"")</f>
        <v>Heimerle + Meule GmbH</v>
      </c>
      <c r="S5" s="181" t="str">
        <f t="shared" ref="S5" ca="1" si="0">IF(B5="","",IF(ISERROR(MATCH($E5,CL,0)),"Unknown",INDIRECT("'C'!$A$"&amp;MATCH($E5,CL,0)+1)))</f>
        <v>DE</v>
      </c>
      <c r="T5" s="181" t="str">
        <f ca="1">IF(B5="","",IF(ISERROR(MATCH($J5,SorP!$B$1:$B$6279,0)),"",INDIRECT("'SorP'!$A$"&amp;MATCH($S5&amp;$J5,SorP!C:C,0))))</f>
        <v>DE-BW</v>
      </c>
      <c r="U5" s="201"/>
      <c r="V5" s="226">
        <f ca="1">IF(C5="",NA(),IF(OR(C5="Smelter not listed",C5="Smelter not yet identified"),MATCH($B5&amp;$D5,'Smelter Look-up'!$J:$J,0),MATCH($B5&amp;$C5,'Smelter Look-up'!$J:$J,0)))</f>
        <v>101</v>
      </c>
      <c r="X5" s="227">
        <f t="shared" ref="X5" ca="1" si="1">IF(AND(C5="Smelter not listed",OR(LEN(D5)=0,LEN(E5)=0)),1,0)</f>
        <v>0</v>
      </c>
      <c r="AB5" s="228" t="str">
        <f t="shared" ref="AB5" ca="1" si="2">B5&amp;C5</f>
        <v>GoldHeimerle + Meule GmbH</v>
      </c>
    </row>
    <row r="6" spans="1:34" s="227" customFormat="1" ht="19.899999999999999" customHeight="1">
      <c r="A6" s="262" t="s">
        <v>736</v>
      </c>
      <c r="B6" s="182" t="str">
        <f ca="1">IF(LEN(A6)=0,"",INDEX('Smelter Look-up'!$A:$A,MATCH($A6,'Smelter Look-up'!$E:$E,0)))</f>
        <v>Gold</v>
      </c>
      <c r="C6" s="186" t="str">
        <f ca="1">IF(LEN(A6)=0,"",INDEX('Smelter Look-up'!$C:$C,MATCH($A6,'Smelter Look-up'!$E:$E,0)))</f>
        <v>Umicore S.A. Business Unit Precious Metals Refining</v>
      </c>
      <c r="D6" s="230"/>
      <c r="E6" s="182" t="str">
        <f ca="1">IF(ISERROR($V6),"",OFFSET('Smelter Look-up'!$D$4,$V6-4,0)&amp;"")</f>
        <v>BELGIUM</v>
      </c>
      <c r="F6" s="182" t="str">
        <f ca="1">IF(ISERROR($V6),"",OFFSET('Smelter Look-up'!$E$4,$V6-4,0))</f>
        <v>CID001980</v>
      </c>
      <c r="G6" s="182" t="str">
        <f ca="1">IF(C6=$X$4,IF(ISERROR($V6),"Enter smelter details","RMI"),IF(ISERROR($V6),"",OFFSET('Smelter Look-up'!$F$4,$V6-4,0)))</f>
        <v>RMI</v>
      </c>
      <c r="H6" s="183">
        <f ca="1">IF(ISERROR($V6),"",OFFSET('Smelter Look-up'!$G$4,$V6-4,0))</f>
        <v>0</v>
      </c>
      <c r="I6" s="184" t="str">
        <f ca="1">IF(ISERROR($V6),"",OFFSET('Smelter Look-up'!$H$4,$V6-4,0))</f>
        <v>Hoboken</v>
      </c>
      <c r="J6" s="184" t="str">
        <f ca="1">IF(ISERROR($V6),"",OFFSET('Smelter Look-up'!$I$4,$V6-4,0))</f>
        <v>Antwerpen</v>
      </c>
      <c r="K6" s="224"/>
      <c r="L6" s="224"/>
      <c r="M6" s="224"/>
      <c r="N6" s="224"/>
      <c r="O6" s="224"/>
      <c r="P6" s="185"/>
      <c r="Q6" s="225" t="s">
        <v>15805</v>
      </c>
      <c r="R6" s="182" t="str">
        <f ca="1">IF(ISERROR($V6),"",OFFSET('Smelter Look-up'!$C$4,$V6-4,0)&amp;"")</f>
        <v>Umicore S.A. Business Unit Precious Metals Refining</v>
      </c>
      <c r="S6" s="181" t="str">
        <f t="shared" ref="S6:S37" ca="1" si="3">IF(B6="","",IF(ISERROR(MATCH($E6,CL,0)),"Unknown",INDIRECT("'C'!$A$"&amp;MATCH($E6,CL,0)+1)))</f>
        <v>BE</v>
      </c>
      <c r="T6" s="181" t="str">
        <f ca="1">IF(B6="","",IF(ISERROR(MATCH($J6,SorP!$B$1:$B$6279,0)),"",INDIRECT("'SorP'!$A$"&amp;MATCH($S6&amp;$J6,SorP!C:C,0))))</f>
        <v>BE-VAN</v>
      </c>
      <c r="U6" s="201"/>
      <c r="V6" s="226">
        <f ca="1">IF(C6="",NA(),IF(OR(C6="Smelter not listed",C6="Smelter not yet identified"),MATCH($B6&amp;$D6,'Smelter Look-up'!$J:$J,0),MATCH($B6&amp;$C6,'Smelter Look-up'!$J:$J,0)))</f>
        <v>293</v>
      </c>
      <c r="X6" s="227">
        <f t="shared" ref="X6:X37" ca="1" si="4">IF(AND(C6="Smelter not listed",OR(LEN(D6)=0,LEN(E6)=0)),1,0)</f>
        <v>0</v>
      </c>
      <c r="AB6" s="228" t="str">
        <f t="shared" ref="AB6:AB37" ca="1" si="5">B6&amp;C6</f>
        <v>GoldUmicore S.A. Business Unit Precious Metals Refining</v>
      </c>
    </row>
    <row r="7" spans="1:34" s="227" customFormat="1" ht="27" customHeight="1">
      <c r="A7" s="262" t="s">
        <v>737</v>
      </c>
      <c r="B7" s="182" t="str">
        <f ca="1">IF(LEN(A7)=0,"",INDEX('Smelter Look-up'!$A:$A,MATCH($A7,'Smelter Look-up'!$E:$E,0)))</f>
        <v>Gold</v>
      </c>
      <c r="C7" s="186" t="str">
        <f ca="1">IF(LEN(A7)=0,"",INDEX('Smelter Look-up'!$C:$C,MATCH($A7,'Smelter Look-up'!$E:$E,0)))</f>
        <v>United Precious Metal Refining, Inc.</v>
      </c>
      <c r="D7" s="230"/>
      <c r="E7" s="182" t="str">
        <f ca="1">IF(ISERROR($V7),"",OFFSET('Smelter Look-up'!$D$4,$V7-4,0)&amp;"")</f>
        <v>UNITED STATES OF AMERICA</v>
      </c>
      <c r="F7" s="182" t="str">
        <f ca="1">IF(ISERROR($V7),"",OFFSET('Smelter Look-up'!$E$4,$V7-4,0))</f>
        <v>CID001993</v>
      </c>
      <c r="G7" s="182" t="str">
        <f ca="1">IF(C7=$X$4,IF(ISERROR($V7),"Enter smelter details","RMI"),IF(ISERROR($V7),"",OFFSET('Smelter Look-up'!$F$4,$V7-4,0)))</f>
        <v>RMI</v>
      </c>
      <c r="H7" s="183" t="s">
        <v>15811</v>
      </c>
      <c r="I7" s="184" t="str">
        <f ca="1">IF(ISERROR($V7),"",OFFSET('Smelter Look-up'!$H$4,$V7-4,0))</f>
        <v>Alden</v>
      </c>
      <c r="J7" s="184" t="str">
        <f ca="1">IF(ISERROR($V7),"",OFFSET('Smelter Look-up'!$I$4,$V7-4,0))</f>
        <v>New York</v>
      </c>
      <c r="K7" s="224" t="s">
        <v>15812</v>
      </c>
      <c r="L7" s="224" t="s">
        <v>15813</v>
      </c>
      <c r="M7" s="224" t="s">
        <v>15814</v>
      </c>
      <c r="N7" s="224"/>
      <c r="O7" s="224"/>
      <c r="P7" s="185"/>
      <c r="Q7" s="225" t="s">
        <v>15810</v>
      </c>
      <c r="R7" s="182" t="str">
        <f ca="1">IF(ISERROR($V7),"",OFFSET('Smelter Look-up'!$C$4,$V7-4,0)&amp;"")</f>
        <v>United Precious Metal Refining, Inc.</v>
      </c>
      <c r="S7" s="181" t="str">
        <f t="shared" ca="1" si="3"/>
        <v>US</v>
      </c>
      <c r="T7" s="181" t="str">
        <f ca="1">IF(B7="","",IF(ISERROR(MATCH($J7,SorP!$B$1:$B$6279,0)),"",INDIRECT("'SorP'!$A$"&amp;MATCH($S7&amp;$J7,SorP!C:C,0))))</f>
        <v>US-NY</v>
      </c>
      <c r="U7" s="201"/>
      <c r="V7" s="226">
        <f ca="1">IF(C7="",NA(),IF(OR(C7="Smelter not listed",C7="Smelter not yet identified"),MATCH($B7&amp;$D7,'Smelter Look-up'!$J:$J,0),MATCH($B7&amp;$C7,'Smelter Look-up'!$J:$J,0)))</f>
        <v>294</v>
      </c>
      <c r="X7" s="227">
        <f t="shared" ca="1" si="4"/>
        <v>0</v>
      </c>
      <c r="AB7" s="228" t="str">
        <f t="shared" ca="1" si="5"/>
        <v>GoldUnited Precious Metal Refining, Inc.</v>
      </c>
    </row>
    <row r="8" spans="1:34" s="227" customFormat="1" ht="19.899999999999999" customHeight="1">
      <c r="A8" s="262" t="s">
        <v>684</v>
      </c>
      <c r="B8" s="182" t="str">
        <f ca="1">IF(LEN(A8)=0,"",INDEX('Smelter Look-up'!$A:$A,MATCH($A8,'Smelter Look-up'!$E:$E,0)))</f>
        <v>Gold</v>
      </c>
      <c r="C8" s="186" t="str">
        <f ca="1">IF(LEN(A8)=0,"",INDEX('Smelter Look-up'!$C:$C,MATCH($A8,'Smelter Look-up'!$E:$E,0)))</f>
        <v>Japan Mint</v>
      </c>
      <c r="D8" s="230"/>
      <c r="E8" s="182" t="str">
        <f ca="1">IF(ISERROR($V8),"",OFFSET('Smelter Look-up'!$D$4,$V8-4,0)&amp;"")</f>
        <v>JAPAN</v>
      </c>
      <c r="F8" s="182" t="str">
        <f ca="1">IF(ISERROR($V8),"",OFFSET('Smelter Look-up'!$E$4,$V8-4,0))</f>
        <v>CID000823</v>
      </c>
      <c r="G8" s="182" t="str">
        <f ca="1">IF(C8=$X$4,IF(ISERROR($V8),"Enter smelter details","RMI"),IF(ISERROR($V8),"",OFFSET('Smelter Look-up'!$F$4,$V8-4,0)))</f>
        <v>RMI</v>
      </c>
      <c r="H8" s="183">
        <f ca="1">IF(ISERROR($V8),"",OFFSET('Smelter Look-up'!$G$4,$V8-4,0))</f>
        <v>0</v>
      </c>
      <c r="I8" s="184" t="str">
        <f ca="1">IF(ISERROR($V8),"",OFFSET('Smelter Look-up'!$H$4,$V8-4,0))</f>
        <v>Osaka</v>
      </c>
      <c r="J8" s="184" t="str">
        <f ca="1">IF(ISERROR($V8),"",OFFSET('Smelter Look-up'!$I$4,$V8-4,0))</f>
        <v>Osaka</v>
      </c>
      <c r="K8" s="224"/>
      <c r="L8" s="224"/>
      <c r="M8" s="224"/>
      <c r="N8" s="224"/>
      <c r="O8" s="224"/>
      <c r="P8" s="185"/>
      <c r="Q8" s="225" t="s">
        <v>15805</v>
      </c>
      <c r="R8" s="182" t="str">
        <f ca="1">IF(ISERROR($V8),"",OFFSET('Smelter Look-up'!$C$4,$V8-4,0)&amp;"")</f>
        <v>Japan Mint</v>
      </c>
      <c r="S8" s="181" t="str">
        <f t="shared" ca="1" si="3"/>
        <v>JP</v>
      </c>
      <c r="T8" s="181" t="str">
        <f ca="1">IF(B8="","",IF(ISERROR(MATCH($J8,SorP!$B$1:$B$6279,0)),"",INDIRECT("'SorP'!$A$"&amp;MATCH($S8&amp;$J8,SorP!C:C,0))))</f>
        <v>JP-27</v>
      </c>
      <c r="U8" s="201"/>
      <c r="V8" s="226">
        <f ca="1">IF(C8="",NA(),IF(OR(C8="Smelter not listed",C8="Smelter not yet identified"),MATCH($B8&amp;$D8,'Smelter Look-up'!$J:$J,0),MATCH($B8&amp;$C8,'Smelter Look-up'!$J:$J,0)))</f>
        <v>122</v>
      </c>
      <c r="X8" s="227">
        <f t="shared" ca="1" si="4"/>
        <v>0</v>
      </c>
      <c r="AB8" s="228" t="str">
        <f t="shared" ca="1" si="5"/>
        <v>GoldJapan Mint</v>
      </c>
    </row>
    <row r="9" spans="1:34" s="227" customFormat="1" ht="19.899999999999999" customHeight="1">
      <c r="A9" s="262" t="s">
        <v>730</v>
      </c>
      <c r="B9" s="182" t="str">
        <f ca="1">IF(LEN(A9)=0,"",INDEX('Smelter Look-up'!$A:$A,MATCH($A9,'Smelter Look-up'!$E:$E,0)))</f>
        <v>Gold</v>
      </c>
      <c r="C9" s="186" t="str">
        <f ca="1">IF(LEN(A9)=0,"",INDEX('Smelter Look-up'!$C:$C,MATCH($A9,'Smelter Look-up'!$E:$E,0)))</f>
        <v>Tanaka Kikinzoku Kogyo K.K.</v>
      </c>
      <c r="D9" s="230"/>
      <c r="E9" s="182" t="str">
        <f ca="1">IF(ISERROR($V9),"",OFFSET('Smelter Look-up'!$D$4,$V9-4,0)&amp;"")</f>
        <v>JAPAN</v>
      </c>
      <c r="F9" s="182" t="str">
        <f ca="1">IF(ISERROR($V9),"",OFFSET('Smelter Look-up'!$E$4,$V9-4,0))</f>
        <v>CID001875</v>
      </c>
      <c r="G9" s="182" t="str">
        <f ca="1">IF(C9=$X$4,IF(ISERROR($V9),"Enter smelter details","RMI"),IF(ISERROR($V9),"",OFFSET('Smelter Look-up'!$F$4,$V9-4,0)))</f>
        <v>RMI</v>
      </c>
      <c r="H9" s="183">
        <f ca="1">IF(ISERROR($V9),"",OFFSET('Smelter Look-up'!$G$4,$V9-4,0))</f>
        <v>0</v>
      </c>
      <c r="I9" s="184" t="str">
        <f ca="1">IF(ISERROR($V9),"",OFFSET('Smelter Look-up'!$H$4,$V9-4,0))</f>
        <v>Hiratsuka</v>
      </c>
      <c r="J9" s="184" t="str">
        <f ca="1">IF(ISERROR($V9),"",OFFSET('Smelter Look-up'!$I$4,$V9-4,0))</f>
        <v>Kanagawa</v>
      </c>
      <c r="K9" s="224"/>
      <c r="L9" s="224"/>
      <c r="M9" s="224"/>
      <c r="N9" s="224"/>
      <c r="O9" s="224"/>
      <c r="P9" s="185"/>
      <c r="Q9" s="225" t="s">
        <v>15805</v>
      </c>
      <c r="R9" s="182" t="str">
        <f ca="1">IF(ISERROR($V9),"",OFFSET('Smelter Look-up'!$C$4,$V9-4,0)&amp;"")</f>
        <v>Tanaka Kikinzoku Kogyo K.K.</v>
      </c>
      <c r="S9" s="181" t="str">
        <f t="shared" ca="1" si="3"/>
        <v>JP</v>
      </c>
      <c r="T9" s="181" t="str">
        <f ca="1">IF(B9="","",IF(ISERROR(MATCH($J9,SorP!$B$1:$B$6279,0)),"",INDIRECT("'SorP'!$A$"&amp;MATCH($S9&amp;$J9,SorP!C:C,0))))</f>
        <v>JP-14</v>
      </c>
      <c r="U9" s="201"/>
      <c r="V9" s="226">
        <f ca="1">IF(C9="",NA(),IF(OR(C9="Smelter not listed",C9="Smelter not yet identified"),MATCH($B9&amp;$D9,'Smelter Look-up'!$J:$J,0),MATCH($B9&amp;$C9,'Smelter Look-up'!$J:$J,0)))</f>
        <v>278</v>
      </c>
      <c r="X9" s="227">
        <f t="shared" ca="1" si="4"/>
        <v>0</v>
      </c>
      <c r="AB9" s="228" t="str">
        <f t="shared" ca="1" si="5"/>
        <v>GoldTanaka Kikinzoku Kogyo K.K.</v>
      </c>
    </row>
    <row r="10" spans="1:34" s="227" customFormat="1" ht="19.899999999999999" customHeight="1">
      <c r="A10" s="262" t="s">
        <v>2204</v>
      </c>
      <c r="B10" s="182" t="str">
        <f ca="1">IF(LEN(A10)=0,"",INDEX('Smelter Look-up'!$A:$A,MATCH($A10,'Smelter Look-up'!$E:$E,0)))</f>
        <v>Gold</v>
      </c>
      <c r="C10" s="186" t="str">
        <f ca="1">IF(LEN(A10)=0,"",INDEX('Smelter Look-up'!$C:$C,MATCH($A10,'Smelter Look-up'!$E:$E,0)))</f>
        <v>WIELAND Edelmetalle GmbH</v>
      </c>
      <c r="D10" s="230"/>
      <c r="E10" s="182" t="str">
        <f ca="1">IF(ISERROR($V10),"",OFFSET('Smelter Look-up'!$D$4,$V10-4,0)&amp;"")</f>
        <v>GERMANY</v>
      </c>
      <c r="F10" s="182" t="str">
        <f ca="1">IF(ISERROR($V10),"",OFFSET('Smelter Look-up'!$E$4,$V10-4,0))</f>
        <v>CID002778</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t="s">
        <v>15805</v>
      </c>
      <c r="R10" s="182" t="str">
        <f ca="1">IF(ISERROR($V10),"",OFFSET('Smelter Look-up'!$C$4,$V10-4,0)&amp;"")</f>
        <v>WIELAND Edelmetalle GmbH</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298</v>
      </c>
      <c r="X10" s="227">
        <f t="shared" ca="1" si="4"/>
        <v>0</v>
      </c>
      <c r="AB10" s="228" t="str">
        <f t="shared" ca="1" si="5"/>
        <v>GoldWIELAND Edelmetalle GmbH</v>
      </c>
    </row>
    <row r="11" spans="1:34" s="227" customFormat="1" ht="19.899999999999999" customHeight="1">
      <c r="A11" s="262" t="s">
        <v>763</v>
      </c>
      <c r="B11" s="182" t="str">
        <f ca="1">IF(LEN(A11)=0,"",INDEX('Smelter Look-up'!$A:$A,MATCH($A11,'Smelter Look-up'!$E:$E,0)))</f>
        <v>Tin</v>
      </c>
      <c r="C11" s="186" t="str">
        <f ca="1">IF(LEN(A11)=0,"",INDEX('Smelter Look-up'!$C:$C,MATCH($A11,'Smelter Look-up'!$E:$E,0)))</f>
        <v>Alpha</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t="s">
        <v>15805</v>
      </c>
      <c r="R11" s="182" t="str">
        <f ca="1">IF(ISERROR($V11),"",OFFSET('Smelter Look-up'!$C$4,$V11-4,0)&amp;"")</f>
        <v>Alpha</v>
      </c>
      <c r="S11" s="181" t="str">
        <f t="shared" ca="1" si="3"/>
        <v>US</v>
      </c>
      <c r="T11" s="181" t="str">
        <f ca="1">IF(B11="","",IF(ISERROR(MATCH($J11,SorP!$B$1:$B$6279,0)),"",INDIRECT("'SorP'!$A$"&amp;MATCH($S11&amp;$J11,SorP!C:C,0))))</f>
        <v>US-PA</v>
      </c>
      <c r="U11" s="201"/>
      <c r="V11" s="226">
        <f ca="1">IF(C11="",NA(),IF(OR(C11="Smelter not listed",C11="Smelter not yet identified"),MATCH($B11&amp;$D11,'Smelter Look-up'!$J:$J,0),MATCH($B11&amp;$C11,'Smelter Look-up'!$J:$J,0)))</f>
        <v>389</v>
      </c>
      <c r="X11" s="227">
        <f t="shared" ca="1" si="4"/>
        <v>0</v>
      </c>
      <c r="AB11" s="228" t="str">
        <f t="shared" ca="1" si="5"/>
        <v>TinAlpha</v>
      </c>
    </row>
    <row r="12" spans="1:34" s="227" customFormat="1" ht="27" customHeight="1">
      <c r="A12" s="262" t="s">
        <v>781</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t="s">
        <v>15816</v>
      </c>
      <c r="R12" s="182" t="str">
        <f ca="1">IF(ISERROR($V12),"",OFFSET('Smelter Look-up'!$C$4,$V12-4,0)&amp;"")</f>
        <v>PT Timah Tbk Mentok</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514</v>
      </c>
      <c r="X12" s="227">
        <f t="shared" ca="1" si="4"/>
        <v>0</v>
      </c>
      <c r="AB12" s="228" t="str">
        <f t="shared" ca="1" si="5"/>
        <v>TinPT Timah Tbk Mentok</v>
      </c>
    </row>
    <row r="13" spans="1:34" s="227" customFormat="1" ht="27.75" customHeight="1">
      <c r="A13" s="262" t="s">
        <v>766</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t="s">
        <v>15816</v>
      </c>
      <c r="R13" s="182" t="str">
        <f ca="1">IF(ISERROR($V13),"",OFFSET('Smelter Look-up'!$C$4,$V13-4,0)&amp;"")</f>
        <v>Fenix Metals</v>
      </c>
      <c r="S13" s="181" t="str">
        <f t="shared" ca="1" si="3"/>
        <v>PL</v>
      </c>
      <c r="T13" s="181" t="str">
        <f ca="1">IF(B13="","",IF(ISERROR(MATCH($J13,SorP!$B$1:$B$6279,0)),"",INDIRECT("'SorP'!$A$"&amp;MATCH($S13&amp;$J13,SorP!C:C,0))))</f>
        <v>PL-18</v>
      </c>
      <c r="U13" s="201"/>
      <c r="V13" s="226">
        <f ca="1">IF(C13="",NA(),IF(OR(C13="Smelter not listed",C13="Smelter not yet identified"),MATCH($B13&amp;$D13,'Smelter Look-up'!$J:$J,0),MATCH($B13&amp;$C13,'Smelter Look-up'!$J:$J,0)))</f>
        <v>430</v>
      </c>
      <c r="X13" s="227">
        <f t="shared" ca="1" si="4"/>
        <v>0</v>
      </c>
      <c r="AB13" s="228" t="str">
        <f t="shared" ca="1" si="5"/>
        <v>TinFenix Metals</v>
      </c>
    </row>
    <row r="14" spans="1:34" s="227" customFormat="1" ht="27" customHeight="1">
      <c r="A14" s="262" t="s">
        <v>784</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t="s">
        <v>15816</v>
      </c>
      <c r="R14" s="182" t="str">
        <f ca="1">IF(ISERROR($V14),"",OFFSET('Smelter Look-up'!$C$4,$V14-4,0)&amp;"")</f>
        <v>Thaisarco</v>
      </c>
      <c r="S14" s="181" t="str">
        <f t="shared" ca="1" si="3"/>
        <v>TH</v>
      </c>
      <c r="T14" s="181" t="str">
        <f ca="1">IF(B14="","",IF(ISERROR(MATCH($J14,SorP!$B$1:$B$6279,0)),"",INDIRECT("'SorP'!$A$"&amp;MATCH($S14&amp;$J14,SorP!C:C,0))))</f>
        <v>TH-83</v>
      </c>
      <c r="U14" s="201"/>
      <c r="V14" s="226">
        <f ca="1">IF(C14="",NA(),IF(OR(C14="Smelter not listed",C14="Smelter not yet identified"),MATCH($B14&amp;$D14,'Smelter Look-up'!$J:$J,0),MATCH($B14&amp;$C14,'Smelter Look-up'!$J:$J,0)))</f>
        <v>526</v>
      </c>
      <c r="X14" s="227">
        <f t="shared" ca="1" si="4"/>
        <v>0</v>
      </c>
      <c r="AB14" s="228" t="str">
        <f t="shared" ca="1" si="5"/>
        <v>TinThaisarco</v>
      </c>
    </row>
    <row r="15" spans="1:34" s="227" customFormat="1" ht="24.75" customHeight="1">
      <c r="A15" s="262" t="s">
        <v>800</v>
      </c>
      <c r="B15" s="182" t="str">
        <f ca="1">IF(LEN(A15)=0,"",INDEX('Smelter Look-up'!$A:$A,MATCH($A15,'Smelter Look-up'!$E:$E,0)))</f>
        <v>Tin</v>
      </c>
      <c r="C15" s="186" t="str">
        <f ca="1">IF(LEN(A15)=0,"",INDEX('Smelter Look-up'!$C:$C,MATCH($A15,'Smelter Look-up'!$E:$E,0)))</f>
        <v>PT Timah Tbk Kundur</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t="s">
        <v>15816</v>
      </c>
      <c r="R15" s="182" t="str">
        <f ca="1">IF(ISERROR($V15),"",OFFSET('Smelter Look-up'!$C$4,$V15-4,0)&amp;"")</f>
        <v>PT Timah Tbk Kundur</v>
      </c>
      <c r="S15" s="181" t="str">
        <f t="shared" ca="1" si="3"/>
        <v>ID</v>
      </c>
      <c r="T15" s="181" t="str">
        <f ca="1">IF(B15="","",IF(ISERROR(MATCH($J15,SorP!$B$1:$B$6279,0)),"",INDIRECT("'SorP'!$A$"&amp;MATCH($S15&amp;$J15,SorP!C:C,0))))</f>
        <v>ID-RI</v>
      </c>
      <c r="U15" s="201"/>
      <c r="V15" s="226">
        <f ca="1">IF(C15="",NA(),IF(OR(C15="Smelter not listed",C15="Smelter not yet identified"),MATCH($B15&amp;$D15,'Smelter Look-up'!$J:$J,0),MATCH($B15&amp;$C15,'Smelter Look-up'!$J:$J,0)))</f>
        <v>513</v>
      </c>
      <c r="X15" s="227">
        <f t="shared" ca="1" si="4"/>
        <v>0</v>
      </c>
      <c r="AB15" s="228" t="str">
        <f t="shared" ca="1" si="5"/>
        <v>TinPT Timah Tbk Kundur</v>
      </c>
    </row>
    <row r="16" spans="1:34" s="227" customFormat="1" ht="19.899999999999999" customHeight="1">
      <c r="A16" s="262" t="s">
        <v>15471</v>
      </c>
      <c r="B16" s="182" t="str">
        <f ca="1">IF(LEN(A16)=0,"",INDEX('Smelter Look-up'!$A:$A,MATCH($A16,'Smelter Look-up'!$E:$E,0)))</f>
        <v>Tin</v>
      </c>
      <c r="C16" s="186" t="str">
        <f ca="1">IF(LEN(A16)=0,"",INDEX('Smelter Look-up'!$C:$C,MATCH($A16,'Smelter Look-up'!$E:$E,0)))</f>
        <v>PT Bukit Timah</v>
      </c>
      <c r="D16" s="230"/>
      <c r="E16" s="182" t="str">
        <f ca="1">IF(ISERROR($V16),"",OFFSET('Smelter Look-up'!$D$4,$V16-4,0)&amp;"")</f>
        <v>INDONESIA</v>
      </c>
      <c r="F16" s="182" t="str">
        <f ca="1">IF(ISERROR($V16),"",OFFSET('Smelter Look-up'!$E$4,$V16-4,0))</f>
        <v>CID001428</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224"/>
      <c r="O16" s="224"/>
      <c r="P16" s="185"/>
      <c r="Q16" s="225" t="s">
        <v>15807</v>
      </c>
      <c r="R16" s="182" t="str">
        <f ca="1">IF(ISERROR($V16),"",OFFSET('Smelter Look-up'!$C$4,$V16-4,0)&amp;"")</f>
        <v>PT Bukit Timah</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495</v>
      </c>
      <c r="X16" s="227">
        <f t="shared" ca="1" si="4"/>
        <v>0</v>
      </c>
      <c r="AB16" s="228" t="str">
        <f t="shared" ca="1" si="5"/>
        <v>TinPT Bukit Timah</v>
      </c>
    </row>
    <row r="17" spans="1:28" s="227" customFormat="1" ht="24.75" customHeight="1">
      <c r="A17" s="262" t="s">
        <v>15108</v>
      </c>
      <c r="B17" s="182" t="str">
        <f ca="1">IF(LEN(A17)=0,"",INDEX('Smelter Look-up'!$A:$A,MATCH($A17,'Smelter Look-up'!$E:$E,0)))</f>
        <v>Tin</v>
      </c>
      <c r="C17" s="186" t="str">
        <f ca="1">IF(LEN(A17)=0,"",INDEX('Smelter Look-up'!$C:$C,MATCH($A17,'Smelter Look-up'!$E:$E,0)))</f>
        <v>PT Babel Surya Alam Lestari</v>
      </c>
      <c r="D17" s="230"/>
      <c r="E17" s="182" t="str">
        <f ca="1">IF(ISERROR($V17),"",OFFSET('Smelter Look-up'!$D$4,$V17-4,0)&amp;"")</f>
        <v>INDONESIA</v>
      </c>
      <c r="F17" s="182" t="str">
        <f ca="1">IF(ISERROR($V17),"",OFFSET('Smelter Look-up'!$E$4,$V17-4,0))</f>
        <v>CID001406</v>
      </c>
      <c r="G17" s="182" t="str">
        <f ca="1">IF(C17=$X$4,IF(ISERROR($V17),"Enter smelter details","RMI"),IF(ISERROR($V17),"",OFFSET('Smelter Look-up'!$F$4,$V17-4,0)))</f>
        <v>RMI</v>
      </c>
      <c r="H17" s="183">
        <f ca="1">IF(ISERROR($V17),"",OFFSET('Smelter Look-up'!$G$4,$V17-4,0))</f>
        <v>0</v>
      </c>
      <c r="I17" s="184" t="str">
        <f ca="1">IF(ISERROR($V17),"",OFFSET('Smelter Look-up'!$H$4,$V17-4,0))</f>
        <v>Badau</v>
      </c>
      <c r="J17" s="184" t="str">
        <f ca="1">IF(ISERROR($V17),"",OFFSET('Smelter Look-up'!$I$4,$V17-4,0))</f>
        <v>Kepulauan Bangka Belitung</v>
      </c>
      <c r="K17" s="224"/>
      <c r="L17" s="224"/>
      <c r="M17" s="224"/>
      <c r="N17" s="224"/>
      <c r="O17" s="224"/>
      <c r="P17" s="185"/>
      <c r="Q17" s="225" t="s">
        <v>15815</v>
      </c>
      <c r="R17" s="182" t="str">
        <f ca="1">IF(ISERROR($V17),"",OFFSET('Smelter Look-up'!$C$4,$V17-4,0)&amp;"")</f>
        <v>PT Babel Surya Alam Lestari</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490</v>
      </c>
      <c r="X17" s="227">
        <f t="shared" ca="1" si="4"/>
        <v>0</v>
      </c>
      <c r="AB17" s="228" t="str">
        <f t="shared" ca="1" si="5"/>
        <v>TinPT Babel Surya Alam Lestari</v>
      </c>
    </row>
    <row r="18" spans="1:28" s="227" customFormat="1" ht="19.899999999999999" customHeight="1">
      <c r="A18" s="181" t="s">
        <v>15114</v>
      </c>
      <c r="B18" s="182" t="str">
        <f ca="1">IF(LEN(A18)=0,"",INDEX('Smelter Look-up'!$A:$A,MATCH($A18,'Smelter Look-up'!$E:$E,0)))</f>
        <v>Tin</v>
      </c>
      <c r="C18" s="186" t="str">
        <f ca="1">IF(LEN(A18)=0,"",INDEX('Smelter Look-up'!$C:$C,MATCH($A18,'Smelter Look-up'!$E:$E,0)))</f>
        <v>PT Rajawali Rimba Perkasa</v>
      </c>
      <c r="D18" s="230"/>
      <c r="E18" s="182" t="str">
        <f ca="1">IF(ISERROR($V18),"",OFFSET('Smelter Look-up'!$D$4,$V18-4,0)&amp;"")</f>
        <v>INDONESIA</v>
      </c>
      <c r="F18" s="182" t="str">
        <f ca="1">IF(ISERROR($V18),"",OFFSET('Smelter Look-up'!$E$4,$V18-4,0))</f>
        <v>CID003381</v>
      </c>
      <c r="G18" s="182" t="str">
        <f ca="1">IF(C18=$X$4,IF(ISERROR($V18),"Enter smelter details","RMI"),IF(ISERROR($V18),"",OFFSET('Smelter Look-up'!$F$4,$V18-4,0)))</f>
        <v>RMI</v>
      </c>
      <c r="H18" s="183">
        <f ca="1">IF(ISERROR($V18),"",OFFSET('Smelter Look-up'!$G$4,$V18-4,0))</f>
        <v>0</v>
      </c>
      <c r="I18" s="184" t="str">
        <f ca="1">IF(ISERROR($V18),"",OFFSET('Smelter Look-up'!$H$4,$V18-4,0))</f>
        <v>Tukak Sadai</v>
      </c>
      <c r="J18" s="184" t="str">
        <f ca="1">IF(ISERROR($V18),"",OFFSET('Smelter Look-up'!$I$4,$V18-4,0))</f>
        <v>Kepulauan Bangka Belitung</v>
      </c>
      <c r="K18" s="224"/>
      <c r="L18" s="224"/>
      <c r="M18" s="224"/>
      <c r="N18" s="224"/>
      <c r="O18" s="224"/>
      <c r="P18" s="185"/>
      <c r="Q18" s="225" t="s">
        <v>15805</v>
      </c>
      <c r="R18" s="182" t="str">
        <f ca="1">IF(ISERROR($V18),"",OFFSET('Smelter Look-up'!$C$4,$V18-4,0)&amp;"")</f>
        <v>PT Rajawali Rimba Perkasa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506</v>
      </c>
      <c r="X18" s="227">
        <f t="shared" ca="1" si="4"/>
        <v>0</v>
      </c>
      <c r="AB18" s="228" t="str">
        <f t="shared" ca="1" si="5"/>
        <v>TinPT Rajawali Rimba Perkasa</v>
      </c>
    </row>
    <row r="19" spans="1:28" s="227" customFormat="1" ht="51">
      <c r="A19" s="181" t="s">
        <v>780</v>
      </c>
      <c r="B19" s="182" t="str">
        <f ca="1">IF(LEN(A19)=0,"",INDEX('Smelter Look-up'!$A:$A,MATCH($A19,'Smelter Look-up'!$E:$E,0)))</f>
        <v>Tin</v>
      </c>
      <c r="C19" s="186" t="str">
        <f ca="1">IF(LEN(A19)=0,"",INDEX('Smelter Look-up'!$C:$C,MATCH($A19,'Smelter Look-up'!$E:$E,0)))</f>
        <v>PT Refined Bangka Tin</v>
      </c>
      <c r="D19" s="230"/>
      <c r="E19" s="182" t="str">
        <f ca="1">IF(ISERROR($V19),"",OFFSET('Smelter Look-up'!$D$4,$V19-4,0)&amp;"")</f>
        <v>INDONESIA</v>
      </c>
      <c r="F19" s="182" t="str">
        <f ca="1">IF(ISERROR($V19),"",OFFSET('Smelter Look-up'!$E$4,$V19-4,0))</f>
        <v>CID001460</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t="s">
        <v>15815</v>
      </c>
      <c r="R19" s="182" t="str">
        <f ca="1">IF(ISERROR($V19),"",OFFSET('Smelter Look-up'!$C$4,$V19-4,0)&amp;"")</f>
        <v>PT Refined Bangka Tin</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507</v>
      </c>
      <c r="X19" s="227">
        <f t="shared" ca="1" si="4"/>
        <v>0</v>
      </c>
      <c r="AB19" s="228" t="str">
        <f t="shared" ca="1" si="5"/>
        <v>TinPT Refined Bangka Tin</v>
      </c>
    </row>
    <row r="20" spans="1:28" s="227" customFormat="1" ht="51">
      <c r="A20" s="181" t="s">
        <v>14029</v>
      </c>
      <c r="B20" s="182" t="str">
        <f ca="1">IF(LEN(A20)=0,"",INDEX('Smelter Look-up'!$A:$A,MATCH($A20,'Smelter Look-up'!$E:$E,0)))</f>
        <v>Tin</v>
      </c>
      <c r="C20" s="186" t="str">
        <f ca="1">IF(LEN(A20)=0,"",INDEX('Smelter Look-up'!$C:$C,MATCH($A20,'Smelter Look-up'!$E:$E,0)))</f>
        <v>PT Bangka Serumpun</v>
      </c>
      <c r="D20" s="230"/>
      <c r="E20" s="182" t="str">
        <f ca="1">IF(ISERROR($V20),"",OFFSET('Smelter Look-up'!$D$4,$V20-4,0)&amp;"")</f>
        <v>INDONESIA</v>
      </c>
      <c r="F20" s="182" t="str">
        <f ca="1">IF(ISERROR($V20),"",OFFSET('Smelter Look-up'!$E$4,$V20-4,0))</f>
        <v>CID003205</v>
      </c>
      <c r="G20" s="182" t="str">
        <f ca="1">IF(C20=$X$4,IF(ISERROR($V20),"Enter smelter details","RMI"),IF(ISERROR($V20),"",OFFSET('Smelter Look-up'!$F$4,$V20-4,0)))</f>
        <v>RMI</v>
      </c>
      <c r="H20" s="183">
        <f ca="1">IF(ISERROR($V20),"",OFFSET('Smelter Look-up'!$G$4,$V20-4,0))</f>
        <v>0</v>
      </c>
      <c r="I20" s="184" t="str">
        <f ca="1">IF(ISERROR($V20),"",OFFSET('Smelter Look-up'!$H$4,$V20-4,0))</f>
        <v>Pangkalpinang</v>
      </c>
      <c r="J20" s="184" t="str">
        <f ca="1">IF(ISERROR($V20),"",OFFSET('Smelter Look-up'!$I$4,$V20-4,0))</f>
        <v>Kepulauan Bangka Belitung</v>
      </c>
      <c r="K20" s="224"/>
      <c r="L20" s="224"/>
      <c r="M20" s="224"/>
      <c r="N20" s="224"/>
      <c r="O20" s="224"/>
      <c r="P20" s="185"/>
      <c r="Q20" s="225" t="s">
        <v>15805</v>
      </c>
      <c r="R20" s="182" t="str">
        <f ca="1">IF(ISERROR($V20),"",OFFSET('Smelter Look-up'!$C$4,$V20-4,0)&amp;"")</f>
        <v>PT Bangka Serumpun</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492</v>
      </c>
      <c r="X20" s="227">
        <f t="shared" ca="1" si="4"/>
        <v>0</v>
      </c>
      <c r="AB20" s="228" t="str">
        <f t="shared" ca="1" si="5"/>
        <v>TinPT Bangka Serumpun</v>
      </c>
    </row>
    <row r="21" spans="1:28" s="227" customFormat="1" ht="63.75">
      <c r="A21" s="181" t="s">
        <v>1399</v>
      </c>
      <c r="B21" s="182" t="str">
        <f ca="1">IF(LEN(A21)=0,"",INDEX('Smelter Look-up'!$A:$A,MATCH($A21,'Smelter Look-up'!$E:$E,0)))</f>
        <v>Tin</v>
      </c>
      <c r="C21" s="186" t="str">
        <f ca="1">IF(LEN(A21)=0,"",INDEX('Smelter Look-up'!$C:$C,MATCH($A21,'Smelter Look-up'!$E:$E,0)))</f>
        <v>PT ATD Makmur Mandiri Jaya</v>
      </c>
      <c r="D21" s="230"/>
      <c r="E21" s="182" t="str">
        <f ca="1">IF(ISERROR($V21),"",OFFSET('Smelter Look-up'!$D$4,$V21-4,0)&amp;"")</f>
        <v>INDONESIA</v>
      </c>
      <c r="F21" s="182" t="str">
        <f ca="1">IF(ISERROR($V21),"",OFFSET('Smelter Look-up'!$E$4,$V21-4,0))</f>
        <v>CID002503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t="s">
        <v>15807</v>
      </c>
      <c r="R21" s="182" t="str">
        <f ca="1">IF(ISERROR($V21),"",OFFSET('Smelter Look-up'!$C$4,$V21-4,0)&amp;"")</f>
        <v>PT ATD Makmur Mandiri Jaya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488</v>
      </c>
      <c r="X21" s="227">
        <f t="shared" ca="1" si="4"/>
        <v>0</v>
      </c>
      <c r="AB21" s="228" t="str">
        <f t="shared" ca="1" si="5"/>
        <v>TinPT ATD Makmur Mandiri Jaya</v>
      </c>
    </row>
    <row r="22" spans="1:28" s="227" customFormat="1" ht="51">
      <c r="A22" s="181" t="s">
        <v>779</v>
      </c>
      <c r="B22" s="182" t="str">
        <f ca="1">IF(LEN(A22)=0,"",INDEX('Smelter Look-up'!$A:$A,MATCH($A22,'Smelter Look-up'!$E:$E,0)))</f>
        <v>Tin</v>
      </c>
      <c r="C22" s="186" t="str">
        <f ca="1">IF(LEN(A22)=0,"",INDEX('Smelter Look-up'!$C:$C,MATCH($A22,'Smelter Look-up'!$E:$E,0)))</f>
        <v>PT Mitra Stania Prima</v>
      </c>
      <c r="D22" s="230"/>
      <c r="E22" s="182" t="str">
        <f ca="1">IF(ISERROR($V22),"",OFFSET('Smelter Look-up'!$D$4,$V22-4,0)&amp;"")</f>
        <v>INDONESIA</v>
      </c>
      <c r="F22" s="182" t="str">
        <f ca="1">IF(ISERROR($V22),"",OFFSET('Smelter Look-up'!$E$4,$V22-4,0))</f>
        <v>CID001453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t="s">
        <v>15816</v>
      </c>
      <c r="R22" s="182" t="str">
        <f ca="1">IF(ISERROR($V22),"",OFFSET('Smelter Look-up'!$C$4,$V22-4,0)&amp;"")</f>
        <v>PT Mitra Stania Prima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500</v>
      </c>
      <c r="X22" s="227">
        <f t="shared" ca="1" si="4"/>
        <v>0</v>
      </c>
      <c r="AB22" s="228" t="str">
        <f t="shared" ca="1" si="5"/>
        <v>TinPT Mitra Stania Prima</v>
      </c>
    </row>
    <row r="23" spans="1:28" s="227" customFormat="1" ht="63.75">
      <c r="A23" s="181" t="s">
        <v>13868</v>
      </c>
      <c r="B23" s="182" t="str">
        <f ca="1">IF(LEN(A23)=0,"",INDEX('Smelter Look-up'!$A:$A,MATCH($A23,'Smelter Look-up'!$E:$E,0)))</f>
        <v>Tin</v>
      </c>
      <c r="C23" s="186" t="str">
        <f ca="1">IF(LEN(A23)=0,"",INDEX('Smelter Look-up'!$C:$C,MATCH($A23,'Smelter Look-up'!$E:$E,0)))</f>
        <v>PT Mitra Sukses Globalindo</v>
      </c>
      <c r="D23" s="230"/>
      <c r="E23" s="182" t="str">
        <f ca="1">IF(ISERROR($V23),"",OFFSET('Smelter Look-up'!$D$4,$V23-4,0)&amp;"")</f>
        <v>INDONESIA</v>
      </c>
      <c r="F23" s="182" t="str">
        <f ca="1">IF(ISERROR($V23),"",OFFSET('Smelter Look-up'!$E$4,$V23-4,0))</f>
        <v>CID003449</v>
      </c>
      <c r="G23" s="182" t="str">
        <f ca="1">IF(C23=$X$4,IF(ISERROR($V23),"Enter smelter details","RMI"),IF(ISERROR($V23),"",OFFSET('Smelter Look-up'!$F$4,$V23-4,0)))</f>
        <v>RMI</v>
      </c>
      <c r="H23" s="183">
        <f ca="1">IF(ISERROR($V23),"",OFFSET('Smelter Look-up'!$G$4,$V23-4,0))</f>
        <v>0</v>
      </c>
      <c r="I23" s="184" t="str">
        <f ca="1">IF(ISERROR($V23),"",OFFSET('Smelter Look-up'!$H$4,$V23-4,0))</f>
        <v>Pangkalpinang</v>
      </c>
      <c r="J23" s="184" t="str">
        <f ca="1">IF(ISERROR($V23),"",OFFSET('Smelter Look-up'!$I$4,$V23-4,0))</f>
        <v>Kepulauan Bangka Belitung</v>
      </c>
      <c r="K23" s="224"/>
      <c r="L23" s="224"/>
      <c r="M23" s="224"/>
      <c r="N23" s="224"/>
      <c r="O23" s="224"/>
      <c r="P23" s="185"/>
      <c r="Q23" s="225" t="s">
        <v>15805</v>
      </c>
      <c r="R23" s="182" t="str">
        <f ca="1">IF(ISERROR($V23),"",OFFSET('Smelter Look-up'!$C$4,$V23-4,0)&amp;"")</f>
        <v>PT Mitra Sukses Globalindo</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501</v>
      </c>
      <c r="X23" s="227">
        <f t="shared" ca="1" si="4"/>
        <v>0</v>
      </c>
      <c r="AB23" s="228" t="str">
        <f t="shared" ca="1" si="5"/>
        <v>TinPT Mitra Sukses Globalindo</v>
      </c>
    </row>
    <row r="24" spans="1:28" s="227" customFormat="1" ht="38.25">
      <c r="A24" s="181" t="s">
        <v>764</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t="s">
        <v>15815</v>
      </c>
      <c r="R24" s="182" t="str">
        <f ca="1">IF(ISERROR($V24),"",OFFSET('Smelter Look-up'!$C$4,$V24-4,0)&amp;"")</f>
        <v>EM Vinto</v>
      </c>
      <c r="S24" s="181" t="str">
        <f t="shared" ca="1" si="3"/>
        <v>BO</v>
      </c>
      <c r="T24" s="181" t="str">
        <f ca="1">IF(B24="","",IF(ISERROR(MATCH($J24,SorP!$B$1:$B$6279,0)),"",INDIRECT("'SorP'!$A$"&amp;MATCH($S24&amp;$J24,SorP!C:C,0))))</f>
        <v>BO-O</v>
      </c>
      <c r="U24" s="201"/>
      <c r="V24" s="226">
        <f ca="1">IF(C24="",NA(),IF(OR(C24="Smelter not listed",C24="Smelter not yet identified"),MATCH($B24&amp;$D24,'Smelter Look-up'!$J:$J,0),MATCH($B24&amp;$C24,'Smelter Look-up'!$J:$J,0)))</f>
        <v>421</v>
      </c>
      <c r="X24" s="227">
        <f t="shared" ca="1" si="4"/>
        <v>0</v>
      </c>
      <c r="AB24" s="228" t="str">
        <f t="shared" ca="1" si="5"/>
        <v>TinEM Vinto</v>
      </c>
    </row>
    <row r="25" spans="1:28" s="227" customFormat="1" ht="63.75">
      <c r="A25" s="181" t="s">
        <v>15493</v>
      </c>
      <c r="B25" s="182" t="str">
        <f ca="1">IF(LEN(A25)=0,"",INDEX('Smelter Look-up'!$A:$A,MATCH($A25,'Smelter Look-up'!$E:$E,0)))</f>
        <v>Tin</v>
      </c>
      <c r="C25" s="186" t="str">
        <f ca="1">IF(LEN(A25)=0,"",INDEX('Smelter Look-up'!$C:$C,MATCH($A25,'Smelter Look-up'!$E:$E,0)))</f>
        <v>PT Sariwiguna Binasentosa</v>
      </c>
      <c r="D25" s="230"/>
      <c r="E25" s="182" t="str">
        <f ca="1">IF(ISERROR($V25),"",OFFSET('Smelter Look-up'!$D$4,$V25-4,0)&amp;"")</f>
        <v>INDONESIA</v>
      </c>
      <c r="F25" s="182" t="str">
        <f ca="1">IF(ISERROR($V25),"",OFFSET('Smelter Look-up'!$E$4,$V25-4,0))</f>
        <v>CID001463</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t="s">
        <v>15807</v>
      </c>
      <c r="R25" s="182" t="str">
        <f ca="1">IF(ISERROR($V25),"",OFFSET('Smelter Look-up'!$C$4,$V25-4,0)&amp;"")</f>
        <v>PT Sariwiguna Binasentosa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508</v>
      </c>
      <c r="X25" s="227">
        <f t="shared" ca="1" si="4"/>
        <v>0</v>
      </c>
      <c r="AB25" s="228" t="str">
        <f t="shared" ca="1" si="5"/>
        <v>TinPT Sariwiguna Binasentosa</v>
      </c>
    </row>
    <row r="26" spans="1:28" s="227" customFormat="1" ht="51">
      <c r="A26" s="181" t="s">
        <v>15479</v>
      </c>
      <c r="B26" s="182" t="str">
        <f ca="1">IF(LEN(A26)=0,"",INDEX('Smelter Look-up'!$A:$A,MATCH($A26,'Smelter Look-up'!$E:$E,0)))</f>
        <v>Tin</v>
      </c>
      <c r="C26" s="186" t="str">
        <f ca="1">IF(LEN(A26)=0,"",INDEX('Smelter Look-up'!$C:$C,MATCH($A26,'Smelter Look-up'!$E:$E,0)))</f>
        <v>PT Babel Inti Perkasa</v>
      </c>
      <c r="D26" s="230"/>
      <c r="E26" s="182" t="str">
        <f ca="1">IF(ISERROR($V26),"",OFFSET('Smelter Look-up'!$D$4,$V26-4,0)&amp;"")</f>
        <v>INDONESIA</v>
      </c>
      <c r="F26" s="182" t="str">
        <f ca="1">IF(ISERROR($V26),"",OFFSET('Smelter Look-up'!$E$4,$V26-4,0))</f>
        <v>CID001402</v>
      </c>
      <c r="G26" s="182" t="str">
        <f ca="1">IF(C26=$X$4,IF(ISERROR($V26),"Enter smelter details","RMI"),IF(ISERROR($V26),"",OFFSET('Smelter Look-up'!$F$4,$V26-4,0)))</f>
        <v>RMI</v>
      </c>
      <c r="H26" s="183">
        <f ca="1">IF(ISERROR($V26),"",OFFSET('Smelter Look-up'!$G$4,$V26-4,0))</f>
        <v>0</v>
      </c>
      <c r="I26" s="184" t="str">
        <f ca="1">IF(ISERROR($V26),"",OFFSET('Smelter Look-up'!$H$4,$V26-4,0))</f>
        <v>Lintang</v>
      </c>
      <c r="J26" s="184" t="str">
        <f ca="1">IF(ISERROR($V26),"",OFFSET('Smelter Look-up'!$I$4,$V26-4,0))</f>
        <v>Kepulauan Bangka Belitung</v>
      </c>
      <c r="K26" s="224"/>
      <c r="L26" s="224"/>
      <c r="M26" s="224"/>
      <c r="N26" s="224"/>
      <c r="O26" s="224"/>
      <c r="P26" s="185"/>
      <c r="Q26" s="225" t="s">
        <v>15807</v>
      </c>
      <c r="R26" s="182" t="str">
        <f ca="1">IF(ISERROR($V26),"",OFFSET('Smelter Look-up'!$C$4,$V26-4,0)&amp;"")</f>
        <v>PT Babel Inti Perkasa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489</v>
      </c>
      <c r="X26" s="227">
        <f t="shared" ca="1" si="4"/>
        <v>0</v>
      </c>
      <c r="AB26" s="228" t="str">
        <f t="shared" ca="1" si="5"/>
        <v>TinPT Babel Inti Perkasa</v>
      </c>
    </row>
    <row r="27" spans="1:28" s="227" customFormat="1" ht="51">
      <c r="A27" s="181" t="s">
        <v>15484</v>
      </c>
      <c r="B27" s="182" t="str">
        <f ca="1">IF(LEN(A27)=0,"",INDEX('Smelter Look-up'!$A:$A,MATCH($A27,'Smelter Look-up'!$E:$E,0)))</f>
        <v>Tin</v>
      </c>
      <c r="C27" s="186" t="str">
        <f ca="1">IF(LEN(A27)=0,"",INDEX('Smelter Look-up'!$C:$C,MATCH($A27,'Smelter Look-up'!$E:$E,0)))</f>
        <v>PT Cipta Persada Mulia</v>
      </c>
      <c r="D27" s="230"/>
      <c r="E27" s="182" t="str">
        <f ca="1">IF(ISERROR($V27),"",OFFSET('Smelter Look-up'!$D$4,$V27-4,0)&amp;"")</f>
        <v>INDONESIA</v>
      </c>
      <c r="F27" s="182" t="str">
        <f ca="1">IF(ISERROR($V27),"",OFFSET('Smelter Look-up'!$E$4,$V27-4,0))</f>
        <v>CID002696</v>
      </c>
      <c r="G27" s="182" t="str">
        <f ca="1">IF(C27=$X$4,IF(ISERROR($V27),"Enter smelter details","RMI"),IF(ISERROR($V27),"",OFFSET('Smelter Look-up'!$F$4,$V27-4,0)))</f>
        <v>RMI</v>
      </c>
      <c r="H27" s="183">
        <f ca="1">IF(ISERROR($V27),"",OFFSET('Smelter Look-up'!$G$4,$V27-4,0))</f>
        <v>0</v>
      </c>
      <c r="I27" s="184" t="str">
        <f ca="1">IF(ISERROR($V27),"",OFFSET('Smelter Look-up'!$H$4,$V27-4,0))</f>
        <v>Batam</v>
      </c>
      <c r="J27" s="184" t="str">
        <f ca="1">IF(ISERROR($V27),"",OFFSET('Smelter Look-up'!$I$4,$V27-4,0))</f>
        <v>Kepulauan Riau</v>
      </c>
      <c r="K27" s="224"/>
      <c r="L27" s="224"/>
      <c r="M27" s="224"/>
      <c r="N27" s="224"/>
      <c r="O27" s="224"/>
      <c r="P27" s="185"/>
      <c r="Q27" s="225" t="s">
        <v>15805</v>
      </c>
      <c r="R27" s="182" t="str">
        <f ca="1">IF(ISERROR($V27),"",OFFSET('Smelter Look-up'!$C$4,$V27-4,0)&amp;"")</f>
        <v>PT Cipta Persada Mulia</v>
      </c>
      <c r="S27" s="181" t="str">
        <f t="shared" ca="1" si="3"/>
        <v>ID</v>
      </c>
      <c r="T27" s="181" t="str">
        <f ca="1">IF(B27="","",IF(ISERROR(MATCH($J27,SorP!$B$1:$B$6279,0)),"",INDIRECT("'SorP'!$A$"&amp;MATCH($S27&amp;$J27,SorP!C:C,0))))</f>
        <v>ID-KR</v>
      </c>
      <c r="U27" s="201"/>
      <c r="V27" s="226">
        <f ca="1">IF(C27="",NA(),IF(OR(C27="Smelter not listed",C27="Smelter not yet identified"),MATCH($B27&amp;$D27,'Smelter Look-up'!$J:$J,0),MATCH($B27&amp;$C27,'Smelter Look-up'!$J:$J,0)))</f>
        <v>496</v>
      </c>
      <c r="X27" s="227">
        <f t="shared" ca="1" si="4"/>
        <v>0</v>
      </c>
      <c r="AB27" s="228" t="str">
        <f t="shared" ca="1" si="5"/>
        <v>TinPT Cipta Persada Mulia</v>
      </c>
    </row>
    <row r="28" spans="1:28" s="227" customFormat="1" ht="76.5">
      <c r="A28" s="181" t="s">
        <v>771</v>
      </c>
      <c r="B28" s="182" t="str">
        <f ca="1">IF(LEN(A28)=0,"",INDEX('Smelter Look-up'!$A:$A,MATCH($A28,'Smelter Look-up'!$E:$E,0)))</f>
        <v>Tin</v>
      </c>
      <c r="C28" s="186" t="str">
        <f ca="1">IF(LEN(A28)=0,"",INDEX('Smelter Look-up'!$C:$C,MATCH($A28,'Smelter Look-up'!$E:$E,0)))</f>
        <v>Malaysia Smelting Corporation (MSC)</v>
      </c>
      <c r="D28" s="230"/>
      <c r="E28" s="182" t="str">
        <f ca="1">IF(ISERROR($V28),"",OFFSET('Smelter Look-up'!$D$4,$V28-4,0)&amp;"")</f>
        <v>MALAYSIA</v>
      </c>
      <c r="F28" s="182" t="str">
        <f ca="1">IF(ISERROR($V28),"",OFFSET('Smelter Look-up'!$E$4,$V28-4,0))</f>
        <v>CID001105</v>
      </c>
      <c r="G28" s="182" t="str">
        <f ca="1">IF(C28=$X$4,IF(ISERROR($V28),"Enter smelter details","RMI"),IF(ISERROR($V28),"",OFFSET('Smelter Look-up'!$F$4,$V28-4,0)))</f>
        <v>RMI</v>
      </c>
      <c r="H28" s="183">
        <f ca="1">IF(ISERROR($V28),"",OFFSET('Smelter Look-up'!$G$4,$V28-4,0))</f>
        <v>0</v>
      </c>
      <c r="I28" s="184" t="str">
        <f ca="1">IF(ISERROR($V28),"",OFFSET('Smelter Look-up'!$H$4,$V28-4,0))</f>
        <v>Butterworth</v>
      </c>
      <c r="J28" s="184" t="str">
        <f ca="1">IF(ISERROR($V28),"",OFFSET('Smelter Look-up'!$I$4,$V28-4,0))</f>
        <v>Pulau Pinang</v>
      </c>
      <c r="K28" s="224"/>
      <c r="L28" s="224"/>
      <c r="M28" s="224"/>
      <c r="N28" s="224"/>
      <c r="O28" s="224"/>
      <c r="P28" s="185"/>
      <c r="Q28" s="225" t="s">
        <v>15808</v>
      </c>
      <c r="R28" s="182" t="str">
        <f ca="1">IF(ISERROR($V28),"",OFFSET('Smelter Look-up'!$C$4,$V28-4,0)&amp;"")</f>
        <v>Malaysia Smelting Corporation (MSC)</v>
      </c>
      <c r="S28" s="181" t="str">
        <f t="shared" ca="1" si="3"/>
        <v>MY</v>
      </c>
      <c r="T28" s="181" t="str">
        <f ca="1">IF(B28="","",IF(ISERROR(MATCH($J28,SorP!$B$1:$B$6279,0)),"",INDIRECT("'SorP'!$A$"&amp;MATCH($S28&amp;$J28,SorP!C:C,0))))</f>
        <v>MY-07</v>
      </c>
      <c r="U28" s="201"/>
      <c r="V28" s="226">
        <f ca="1">IF(C28="",NA(),IF(OR(C28="Smelter not listed",C28="Smelter not yet identified"),MATCH($B28&amp;$D28,'Smelter Look-up'!$J:$J,0),MATCH($B28&amp;$C28,'Smelter Look-up'!$J:$J,0)))</f>
        <v>458</v>
      </c>
      <c r="X28" s="227">
        <f t="shared" ca="1" si="4"/>
        <v>0</v>
      </c>
      <c r="AB28" s="228" t="str">
        <f t="shared" ca="1" si="5"/>
        <v>TinMalaysia Smelting Corporation (MSC)</v>
      </c>
    </row>
    <row r="29" spans="1:28" s="227" customFormat="1" ht="89.25">
      <c r="A29" s="181" t="s">
        <v>787</v>
      </c>
      <c r="B29" s="182" t="str">
        <f ca="1">IF(LEN(A29)=0,"",INDEX('Smelter Look-up'!$A:$A,MATCH($A29,'Smelter Look-up'!$E:$E,0)))</f>
        <v>Tin</v>
      </c>
      <c r="C29" s="186" t="str">
        <f ca="1">IF(LEN(A29)=0,"",INDEX('Smelter Look-up'!$C:$C,MATCH($A29,'Smelter Look-up'!$E:$E,0)))</f>
        <v>Tin Smelting Branch of Yunnan Tin Co., Ltd.</v>
      </c>
      <c r="D29" s="230"/>
      <c r="E29" s="182" t="str">
        <f ca="1">IF(ISERROR($V29),"",OFFSET('Smelter Look-up'!$D$4,$V29-4,0)&amp;"")</f>
        <v>CHINA</v>
      </c>
      <c r="F29" s="182" t="str">
        <f ca="1">IF(ISERROR($V29),"",OFFSET('Smelter Look-up'!$E$4,$V29-4,0))</f>
        <v>CID002180</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t="s">
        <v>15808</v>
      </c>
      <c r="R29" s="182" t="str">
        <f ca="1">IF(ISERROR($V29),"",OFFSET('Smelter Look-up'!$C$4,$V29-4,0)&amp;"")</f>
        <v>Tin Smelting Branch of Yunnan Tin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529</v>
      </c>
      <c r="X29" s="227">
        <f t="shared" ca="1" si="4"/>
        <v>0</v>
      </c>
      <c r="AB29" s="228" t="str">
        <f t="shared" ca="1" si="5"/>
        <v>TinTin Smelting Branch of Yunnan Tin Co., Ltd.</v>
      </c>
    </row>
    <row r="30" spans="1:28" s="227" customFormat="1" ht="38.25">
      <c r="A30" s="181" t="s">
        <v>13867</v>
      </c>
      <c r="B30" s="182" t="str">
        <f ca="1">IF(LEN(A30)=0,"",INDEX('Smelter Look-up'!$A:$A,MATCH($A30,'Smelter Look-up'!$E:$E,0)))</f>
        <v>Tin</v>
      </c>
      <c r="C30" s="186" t="str">
        <f ca="1">IF(LEN(A30)=0,"",INDEX('Smelter Look-up'!$C:$C,MATCH($A30,'Smelter Look-up'!$E:$E,0)))</f>
        <v>Luna Smelter, Ltd.</v>
      </c>
      <c r="D30" s="230"/>
      <c r="E30" s="182" t="str">
        <f ca="1">IF(ISERROR($V30),"",OFFSET('Smelter Look-up'!$D$4,$V30-4,0)&amp;"")</f>
        <v>RWANDA</v>
      </c>
      <c r="F30" s="182" t="str">
        <f ca="1">IF(ISERROR($V30),"",OFFSET('Smelter Look-up'!$E$4,$V30-4,0))</f>
        <v>CID003387</v>
      </c>
      <c r="G30" s="182" t="str">
        <f ca="1">IF(C30=$X$4,IF(ISERROR($V30),"Enter smelter details","RMI"),IF(ISERROR($V30),"",OFFSET('Smelter Look-up'!$F$4,$V30-4,0)))</f>
        <v>RMI</v>
      </c>
      <c r="H30" s="183">
        <f ca="1">IF(ISERROR($V30),"",OFFSET('Smelter Look-up'!$G$4,$V30-4,0))</f>
        <v>0</v>
      </c>
      <c r="I30" s="184" t="str">
        <f ca="1">IF(ISERROR($V30),"",OFFSET('Smelter Look-up'!$H$4,$V30-4,0))</f>
        <v>Kigali</v>
      </c>
      <c r="J30" s="184" t="str">
        <f ca="1">IF(ISERROR($V30),"",OFFSET('Smelter Look-up'!$I$4,$V30-4,0))</f>
        <v>City of Kigali</v>
      </c>
      <c r="K30" s="224"/>
      <c r="L30" s="224"/>
      <c r="M30" s="224"/>
      <c r="N30" s="224"/>
      <c r="O30" s="224"/>
      <c r="P30" s="185"/>
      <c r="Q30" s="225" t="s">
        <v>15805</v>
      </c>
      <c r="R30" s="182" t="str">
        <f ca="1">IF(ISERROR($V30),"",OFFSET('Smelter Look-up'!$C$4,$V30-4,0)&amp;"")</f>
        <v>Luna Smelter, Ltd.</v>
      </c>
      <c r="S30" s="181" t="str">
        <f t="shared" ca="1" si="3"/>
        <v>RW</v>
      </c>
      <c r="T30" s="181" t="str">
        <f ca="1">IF(B30="","",IF(ISERROR(MATCH($J30,SorP!$B$1:$B$6279,0)),"",INDIRECT("'SorP'!$A$"&amp;MATCH($S30&amp;$J30,SorP!C:C,0))))</f>
        <v>RW-01</v>
      </c>
      <c r="U30" s="201"/>
      <c r="V30" s="226">
        <f ca="1">IF(C30="",NA(),IF(OR(C30="Smelter not listed",C30="Smelter not yet identified"),MATCH($B30&amp;$D30,'Smelter Look-up'!$J:$J,0),MATCH($B30&amp;$C30,'Smelter Look-up'!$J:$J,0)))</f>
        <v>456</v>
      </c>
      <c r="X30" s="227">
        <f t="shared" ca="1" si="4"/>
        <v>0</v>
      </c>
      <c r="AB30" s="228" t="str">
        <f t="shared" ca="1" si="5"/>
        <v>TinLuna Smelter, Ltd.</v>
      </c>
    </row>
    <row r="31" spans="1:28" s="227" customFormat="1" ht="25.5">
      <c r="A31" s="181" t="s">
        <v>773</v>
      </c>
      <c r="B31" s="182" t="str">
        <f ca="1">IF(LEN(A31)=0,"",INDEX('Smelter Look-up'!$A:$A,MATCH($A31,'Smelter Look-up'!$E:$E,0)))</f>
        <v>Tin</v>
      </c>
      <c r="C31" s="186" t="str">
        <f ca="1">IF(LEN(A31)=0,"",INDEX('Smelter Look-up'!$C:$C,MATCH($A31,'Smelter Look-up'!$E:$E,0)))</f>
        <v>Minsur</v>
      </c>
      <c r="D31" s="230"/>
      <c r="E31" s="182" t="str">
        <f ca="1">IF(ISERROR($V31),"",OFFSET('Smelter Look-up'!$D$4,$V31-4,0)&amp;"")</f>
        <v>PERU</v>
      </c>
      <c r="F31" s="182" t="str">
        <f ca="1">IF(ISERROR($V31),"",OFFSET('Smelter Look-up'!$E$4,$V31-4,0))</f>
        <v>CID001182</v>
      </c>
      <c r="G31" s="182" t="str">
        <f ca="1">IF(C31=$X$4,IF(ISERROR($V31),"Enter smelter details","RMI"),IF(ISERROR($V31),"",OFFSET('Smelter Look-up'!$F$4,$V31-4,0)))</f>
        <v>RMI</v>
      </c>
      <c r="H31" s="183">
        <f ca="1">IF(ISERROR($V31),"",OFFSET('Smelter Look-up'!$G$4,$V31-4,0))</f>
        <v>0</v>
      </c>
      <c r="I31" s="184" t="str">
        <f ca="1">IF(ISERROR($V31),"",OFFSET('Smelter Look-up'!$H$4,$V31-4,0))</f>
        <v>Paracas</v>
      </c>
      <c r="J31" s="184" t="str">
        <f ca="1">IF(ISERROR($V31),"",OFFSET('Smelter Look-up'!$I$4,$V31-4,0))</f>
        <v>Ika</v>
      </c>
      <c r="K31" s="224"/>
      <c r="L31" s="224"/>
      <c r="M31" s="224"/>
      <c r="N31" s="224"/>
      <c r="O31" s="224"/>
      <c r="P31" s="185"/>
      <c r="Q31" s="225" t="s">
        <v>15815</v>
      </c>
      <c r="R31" s="182" t="str">
        <f ca="1">IF(ISERROR($V31),"",OFFSET('Smelter Look-up'!$C$4,$V31-4,0)&amp;"")</f>
        <v>Minsur</v>
      </c>
      <c r="S31" s="181" t="str">
        <f t="shared" ca="1" si="3"/>
        <v>PE</v>
      </c>
      <c r="T31" s="181" t="str">
        <f ca="1">IF(B31="","",IF(ISERROR(MATCH($J31,SorP!$B$1:$B$6279,0)),"",INDIRECT("'SorP'!$A$"&amp;MATCH($S31&amp;$J31,SorP!C:C,0))))</f>
        <v>PE-ICA</v>
      </c>
      <c r="U31" s="201"/>
      <c r="V31" s="226">
        <f ca="1">IF(C31="",NA(),IF(OR(C31="Smelter not listed",C31="Smelter not yet identified"),MATCH($B31&amp;$D31,'Smelter Look-up'!$J:$J,0),MATCH($B31&amp;$C31,'Smelter Look-up'!$J:$J,0)))</f>
        <v>470</v>
      </c>
      <c r="X31" s="227">
        <f t="shared" ca="1" si="4"/>
        <v>0</v>
      </c>
      <c r="AB31" s="228" t="str">
        <f t="shared" ca="1" si="5"/>
        <v>TinMinsur</v>
      </c>
    </row>
    <row r="32" spans="1:28" s="227" customFormat="1" ht="25.5">
      <c r="A32" s="181" t="s">
        <v>1405</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t="s">
        <v>15815</v>
      </c>
      <c r="R32" s="182" t="str">
        <f ca="1">IF(ISERROR($V32),"",OFFSET('Smelter Look-up'!$C$4,$V32-4,0)&amp;"")</f>
        <v>Dowa</v>
      </c>
      <c r="S32" s="181" t="str">
        <f t="shared" ca="1" si="3"/>
        <v>JP</v>
      </c>
      <c r="T32" s="181" t="str">
        <f ca="1">IF(B32="","",IF(ISERROR(MATCH($J32,SorP!$B$1:$B$6279,0)),"",INDIRECT("'SorP'!$A$"&amp;MATCH($S32&amp;$J32,SorP!C:C,0))))</f>
        <v>JP-05</v>
      </c>
      <c r="U32" s="201"/>
      <c r="V32" s="226">
        <f ca="1">IF(C32="",NA(),IF(OR(C32="Smelter not listed",C32="Smelter not yet identified"),MATCH($B32&amp;$D32,'Smelter Look-up'!$J:$J,0),MATCH($B32&amp;$C32,'Smelter Look-up'!$J:$J,0)))</f>
        <v>417</v>
      </c>
      <c r="X32" s="227">
        <f t="shared" ca="1" si="4"/>
        <v>0</v>
      </c>
      <c r="AB32" s="228" t="str">
        <f t="shared" ca="1" si="5"/>
        <v>TinDowa</v>
      </c>
    </row>
    <row r="33" spans="1:28" s="227" customFormat="1" ht="102">
      <c r="A33" s="181" t="s">
        <v>2529</v>
      </c>
      <c r="B33" s="182" t="str">
        <f ca="1">IF(LEN(A33)=0,"",INDEX('Smelter Look-up'!$A:$A,MATCH($A33,'Smelter Look-up'!$E:$E,0)))</f>
        <v>Tin</v>
      </c>
      <c r="C33" s="186" t="str">
        <f ca="1">IF(LEN(A33)=0,"",INDEX('Smelter Look-up'!$C:$C,MATCH($A33,'Smelter Look-up'!$E:$E,0)))</f>
        <v>Guangdong Hanhe Non-Ferrous Metal Co., Ltd.</v>
      </c>
      <c r="D33" s="230"/>
      <c r="E33" s="182" t="str">
        <f ca="1">IF(ISERROR($V33),"",OFFSET('Smelter Look-up'!$D$4,$V33-4,0)&amp;"")</f>
        <v>CHINA</v>
      </c>
      <c r="F33" s="182" t="str">
        <f ca="1">IF(ISERROR($V33),"",OFFSET('Smelter Look-up'!$E$4,$V33-4,0))</f>
        <v>CID003116</v>
      </c>
      <c r="G33" s="182" t="str">
        <f ca="1">IF(C33=$X$4,IF(ISERROR($V33),"Enter smelter details","RMI"),IF(ISERROR($V33),"",OFFSET('Smelter Look-up'!$F$4,$V33-4,0)))</f>
        <v>RMI</v>
      </c>
      <c r="H33" s="183">
        <f ca="1">IF(ISERROR($V33),"",OFFSET('Smelter Look-up'!$G$4,$V33-4,0))</f>
        <v>0</v>
      </c>
      <c r="I33" s="184" t="str">
        <f ca="1">IF(ISERROR($V33),"",OFFSET('Smelter Look-up'!$H$4,$V33-4,0))</f>
        <v>Chaozhou</v>
      </c>
      <c r="J33" s="184" t="str">
        <f ca="1">IF(ISERROR($V33),"",OFFSET('Smelter Look-up'!$I$4,$V33-4,0))</f>
        <v>Guangdong Sheng</v>
      </c>
      <c r="K33" s="224"/>
      <c r="L33" s="224"/>
      <c r="M33" s="224"/>
      <c r="N33" s="224"/>
      <c r="O33" s="224"/>
      <c r="P33" s="185"/>
      <c r="Q33" s="225" t="s">
        <v>15815</v>
      </c>
      <c r="R33" s="182" t="str">
        <f ca="1">IF(ISERROR($V33),"",OFFSET('Smelter Look-up'!$C$4,$V33-4,0)&amp;"")</f>
        <v>Guangdong Hanhe Non-Ferrous Metal Co., Ltd.</v>
      </c>
      <c r="S33" s="181" t="str">
        <f t="shared" ca="1" si="3"/>
        <v>CN</v>
      </c>
      <c r="T33" s="181" t="str">
        <f ca="1">IF(B33="","",IF(ISERROR(MATCH($J33,SorP!$B$1:$B$6279,0)),"",INDIRECT("'SorP'!$A$"&amp;MATCH($S33&amp;$J33,SorP!C:C,0))))</f>
        <v>CN-GD</v>
      </c>
      <c r="U33" s="201"/>
      <c r="V33" s="226">
        <f ca="1">IF(C33="",NA(),IF(OR(C33="Smelter not listed",C33="Smelter not yet identified"),MATCH($B33&amp;$D33,'Smelter Look-up'!$J:$J,0),MATCH($B33&amp;$C33,'Smelter Look-up'!$J:$J,0)))</f>
        <v>442</v>
      </c>
      <c r="X33" s="227">
        <f t="shared" ca="1" si="4"/>
        <v>0</v>
      </c>
      <c r="AB33" s="228" t="str">
        <f t="shared" ca="1" si="5"/>
        <v>TinGuangdong Hanhe Non-Ferrous Metal Co., Ltd.</v>
      </c>
    </row>
    <row r="34" spans="1:28" s="227" customFormat="1" ht="38.25">
      <c r="A34" s="181" t="s">
        <v>1815</v>
      </c>
      <c r="B34" s="182" t="str">
        <f ca="1">IF(LEN(A34)=0,"",INDEX('Smelter Look-up'!$A:$A,MATCH($A34,'Smelter Look-up'!$E:$E,0)))</f>
        <v>Tin</v>
      </c>
      <c r="C34" s="186" t="str">
        <f ca="1">IF(LEN(A34)=0,"",INDEX('Smelter Look-up'!$C:$C,MATCH($A34,'Smelter Look-up'!$E:$E,0)))</f>
        <v>Aurubis Beerse</v>
      </c>
      <c r="D34" s="230"/>
      <c r="E34" s="182" t="str">
        <f ca="1">IF(ISERROR($V34),"",OFFSET('Smelter Look-up'!$D$4,$V34-4,0)&amp;"")</f>
        <v>BELGIUM</v>
      </c>
      <c r="F34" s="182" t="str">
        <f ca="1">IF(ISERROR($V34),"",OFFSET('Smelter Look-up'!$E$4,$V34-4,0))</f>
        <v>CID002773</v>
      </c>
      <c r="G34" s="182" t="str">
        <f ca="1">IF(C34=$X$4,IF(ISERROR($V34),"Enter smelter details","RMI"),IF(ISERROR($V34),"",OFFSET('Smelter Look-up'!$F$4,$V34-4,0)))</f>
        <v>RMI</v>
      </c>
      <c r="H34" s="183">
        <f ca="1">IF(ISERROR($V34),"",OFFSET('Smelter Look-up'!$G$4,$V34-4,0))</f>
        <v>0</v>
      </c>
      <c r="I34" s="184" t="str">
        <f ca="1">IF(ISERROR($V34),"",OFFSET('Smelter Look-up'!$H$4,$V34-4,0))</f>
        <v>Beerse</v>
      </c>
      <c r="J34" s="184" t="str">
        <f ca="1">IF(ISERROR($V34),"",OFFSET('Smelter Look-up'!$I$4,$V34-4,0))</f>
        <v>Antwerpen</v>
      </c>
      <c r="K34" s="224"/>
      <c r="L34" s="224"/>
      <c r="M34" s="224"/>
      <c r="N34" s="224"/>
      <c r="O34" s="224"/>
      <c r="P34" s="185"/>
      <c r="Q34" s="225" t="s">
        <v>15815</v>
      </c>
      <c r="R34" s="182" t="str">
        <f ca="1">IF(ISERROR($V34),"",OFFSET('Smelter Look-up'!$C$4,$V34-4,0)&amp;"")</f>
        <v>Aurubis Beerse</v>
      </c>
      <c r="S34" s="181" t="str">
        <f t="shared" ca="1" si="3"/>
        <v>BE</v>
      </c>
      <c r="T34" s="181" t="str">
        <f ca="1">IF(B34="","",IF(ISERROR(MATCH($J34,SorP!$B$1:$B$6279,0)),"",INDIRECT("'SorP'!$A$"&amp;MATCH($S34&amp;$J34,SorP!C:C,0))))</f>
        <v>BE-VAN</v>
      </c>
      <c r="U34" s="201"/>
      <c r="V34" s="226">
        <f ca="1">IF(C34="",NA(),IF(OR(C34="Smelter not listed",C34="Smelter not yet identified"),MATCH($B34&amp;$D34,'Smelter Look-up'!$J:$J,0),MATCH($B34&amp;$C34,'Smelter Look-up'!$J:$J,0)))</f>
        <v>394</v>
      </c>
      <c r="X34" s="227">
        <f t="shared" ca="1" si="4"/>
        <v>0</v>
      </c>
      <c r="AB34" s="228" t="str">
        <f t="shared" ca="1" si="5"/>
        <v>TinAurubis Beerse</v>
      </c>
    </row>
    <row r="35" spans="1:28" s="227" customFormat="1" ht="51">
      <c r="A35" s="181" t="s">
        <v>772</v>
      </c>
      <c r="B35" s="182" t="str">
        <f ca="1">IF(LEN(A35)=0,"",INDEX('Smelter Look-up'!$A:$A,MATCH($A35,'Smelter Look-up'!$E:$E,0)))</f>
        <v>Tin</v>
      </c>
      <c r="C35" s="186" t="str">
        <f ca="1">IF(LEN(A35)=0,"",INDEX('Smelter Look-up'!$C:$C,MATCH($A35,'Smelter Look-up'!$E:$E,0)))</f>
        <v>Mineracao Taboca S.A.</v>
      </c>
      <c r="D35" s="230"/>
      <c r="E35" s="182" t="str">
        <f ca="1">IF(ISERROR($V35),"",OFFSET('Smelter Look-up'!$D$4,$V35-4,0)&amp;"")</f>
        <v>BRAZIL</v>
      </c>
      <c r="F35" s="182" t="str">
        <f ca="1">IF(ISERROR($V35),"",OFFSET('Smelter Look-up'!$E$4,$V35-4,0))</f>
        <v>CID001173</v>
      </c>
      <c r="G35" s="182" t="str">
        <f ca="1">IF(C35=$X$4,IF(ISERROR($V35),"Enter smelter details","RMI"),IF(ISERROR($V35),"",OFFSET('Smelter Look-up'!$F$4,$V35-4,0)))</f>
        <v>RMI</v>
      </c>
      <c r="H35" s="183">
        <f ca="1">IF(ISERROR($V35),"",OFFSET('Smelter Look-up'!$G$4,$V35-4,0))</f>
        <v>0</v>
      </c>
      <c r="I35" s="184" t="str">
        <f ca="1">IF(ISERROR($V35),"",OFFSET('Smelter Look-up'!$H$4,$V35-4,0))</f>
        <v>Bairro Guarapiranga</v>
      </c>
      <c r="J35" s="184" t="str">
        <f ca="1">IF(ISERROR($V35),"",OFFSET('Smelter Look-up'!$I$4,$V35-4,0))</f>
        <v>São Paulo</v>
      </c>
      <c r="K35" s="224"/>
      <c r="L35" s="224"/>
      <c r="M35" s="224"/>
      <c r="N35" s="224"/>
      <c r="O35" s="224"/>
      <c r="P35" s="185"/>
      <c r="Q35" s="225" t="s">
        <v>15815</v>
      </c>
      <c r="R35" s="182" t="str">
        <f ca="1">IF(ISERROR($V35),"",OFFSET('Smelter Look-up'!$C$4,$V35-4,0)&amp;"")</f>
        <v>Mineracao Taboca S.A.</v>
      </c>
      <c r="S35" s="181" t="str">
        <f t="shared" ca="1" si="3"/>
        <v>BR</v>
      </c>
      <c r="T35" s="181" t="str">
        <f ca="1">IF(B35="","",IF(ISERROR(MATCH($J35,SorP!$B$1:$B$6279,0)),"",INDIRECT("'SorP'!$A$"&amp;MATCH($S35&amp;$J35,SorP!C:C,0))))</f>
        <v>BR-SP</v>
      </c>
      <c r="U35" s="201"/>
      <c r="V35" s="226">
        <f ca="1">IF(C35="",NA(),IF(OR(C35="Smelter not listed",C35="Smelter not yet identified"),MATCH($B35&amp;$D35,'Smelter Look-up'!$J:$J,0),MATCH($B35&amp;$C35,'Smelter Look-up'!$J:$J,0)))</f>
        <v>465</v>
      </c>
      <c r="X35" s="227">
        <f t="shared" ca="1" si="4"/>
        <v>0</v>
      </c>
      <c r="AB35" s="228" t="str">
        <f t="shared" ca="1" si="5"/>
        <v>TinMineracao Taboca S.A.</v>
      </c>
    </row>
    <row r="36" spans="1:28" s="227" customFormat="1" ht="76.5">
      <c r="A36" s="181" t="s">
        <v>774</v>
      </c>
      <c r="B36" s="182" t="str">
        <f ca="1">IF(LEN(A36)=0,"",INDEX('Smelter Look-up'!$A:$A,MATCH($A36,'Smelter Look-up'!$E:$E,0)))</f>
        <v>Tin</v>
      </c>
      <c r="C36" s="186" t="str">
        <f ca="1">IF(LEN(A36)=0,"",INDEX('Smelter Look-up'!$C:$C,MATCH($A36,'Smelter Look-up'!$E:$E,0)))</f>
        <v>Mitsubishi Materials Corporation</v>
      </c>
      <c r="D36" s="230"/>
      <c r="E36" s="182" t="str">
        <f ca="1">IF(ISERROR($V36),"",OFFSET('Smelter Look-up'!$D$4,$V36-4,0)&amp;"")</f>
        <v>JAPAN</v>
      </c>
      <c r="F36" s="182" t="str">
        <f ca="1">IF(ISERROR($V36),"",OFFSET('Smelter Look-up'!$E$4,$V36-4,0))</f>
        <v>CID001191</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t="s">
        <v>15815</v>
      </c>
      <c r="R36" s="182" t="str">
        <f ca="1">IF(ISERROR($V36),"",OFFSET('Smelter Look-up'!$C$4,$V36-4,0)&amp;"")</f>
        <v>Mitsubishi Materials Corporation</v>
      </c>
      <c r="S36" s="181" t="str">
        <f t="shared" ca="1" si="3"/>
        <v>JP</v>
      </c>
      <c r="T36" s="181" t="str">
        <f ca="1">IF(B36="","",IF(ISERROR(MATCH($J36,SorP!$B$1:$B$6279,0)),"",INDIRECT("'SorP'!$A$"&amp;MATCH($S36&amp;$J36,SorP!C:C,0))))</f>
        <v>JP-13</v>
      </c>
      <c r="U36" s="201"/>
      <c r="V36" s="226">
        <f ca="1">IF(C36="",NA(),IF(OR(C36="Smelter not listed",C36="Smelter not yet identified"),MATCH($B36&amp;$D36,'Smelter Look-up'!$J:$J,0),MATCH($B36&amp;$C36,'Smelter Look-up'!$J:$J,0)))</f>
        <v>471</v>
      </c>
      <c r="X36" s="227">
        <f t="shared" ca="1" si="4"/>
        <v>0</v>
      </c>
      <c r="AB36" s="228" t="str">
        <f t="shared" ca="1" si="5"/>
        <v>TinMitsubishi Materials Corporation</v>
      </c>
    </row>
    <row r="37" spans="1:28" s="227" customFormat="1" ht="63.75">
      <c r="A37" s="181" t="s">
        <v>777</v>
      </c>
      <c r="B37" s="182" t="str">
        <f ca="1">IF(LEN(A37)=0,"",INDEX('Smelter Look-up'!$A:$A,MATCH($A37,'Smelter Look-up'!$E:$E,0)))</f>
        <v>Tin</v>
      </c>
      <c r="C37" s="186" t="str">
        <f ca="1">IF(LEN(A37)=0,"",INDEX('Smelter Look-up'!$C:$C,MATCH($A37,'Smelter Look-up'!$E:$E,0)))</f>
        <v>Operaciones Metalurgicas S.A.</v>
      </c>
      <c r="D37" s="230"/>
      <c r="E37" s="182" t="str">
        <f ca="1">IF(ISERROR($V37),"",OFFSET('Smelter Look-up'!$D$4,$V37-4,0)&amp;"")</f>
        <v>BOLIVIA (PLURINATIONAL STATE OF)</v>
      </c>
      <c r="F37" s="182" t="str">
        <f ca="1">IF(ISERROR($V37),"",OFFSET('Smelter Look-up'!$E$4,$V37-4,0))</f>
        <v>CID001337</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t="s">
        <v>15807</v>
      </c>
      <c r="R37" s="182" t="str">
        <f ca="1">IF(ISERROR($V37),"",OFFSET('Smelter Look-up'!$C$4,$V37-4,0)&amp;"")</f>
        <v>Operaciones Metalurgicas S.A.</v>
      </c>
      <c r="S37" s="181" t="str">
        <f t="shared" ca="1" si="3"/>
        <v>BO</v>
      </c>
      <c r="T37" s="181" t="str">
        <f ca="1">IF(B37="","",IF(ISERROR(MATCH($J37,SorP!$B$1:$B$6279,0)),"",INDIRECT("'SorP'!$A$"&amp;MATCH($S37&amp;$J37,SorP!C:C,0))))</f>
        <v>BO-O</v>
      </c>
      <c r="U37" s="201"/>
      <c r="V37" s="226">
        <f ca="1">IF(C37="",NA(),IF(OR(C37="Smelter not listed",C37="Smelter not yet identified"),MATCH($B37&amp;$D37,'Smelter Look-up'!$J:$J,0),MATCH($B37&amp;$C37,'Smelter Look-up'!$J:$J,0)))</f>
        <v>482</v>
      </c>
      <c r="X37" s="227">
        <f t="shared" ca="1" si="4"/>
        <v>0</v>
      </c>
      <c r="AB37" s="228" t="str">
        <f t="shared" ca="1" si="5"/>
        <v>TinOperaciones Metalurgicas S.A.</v>
      </c>
    </row>
    <row r="38" spans="1:28" s="227" customFormat="1" ht="63.75">
      <c r="A38" s="181" t="s">
        <v>778</v>
      </c>
      <c r="B38" s="182" t="str">
        <f ca="1">IF(LEN(A38)=0,"",INDEX('Smelter Look-up'!$A:$A,MATCH($A38,'Smelter Look-up'!$E:$E,0)))</f>
        <v>Tin</v>
      </c>
      <c r="C38" s="186" t="str">
        <f ca="1">IF(LEN(A38)=0,"",INDEX('Smelter Look-up'!$C:$C,MATCH($A38,'Smelter Look-up'!$E:$E,0)))</f>
        <v>PT Artha Cipta Langgeng</v>
      </c>
      <c r="D38" s="230"/>
      <c r="E38" s="182" t="str">
        <f ca="1">IF(ISERROR($V38),"",OFFSET('Smelter Look-up'!$D$4,$V38-4,0)&amp;"")</f>
        <v>INDONESIA</v>
      </c>
      <c r="F38" s="182" t="str">
        <f ca="1">IF(ISERROR($V38),"",OFFSET('Smelter Look-up'!$E$4,$V38-4,0))</f>
        <v>CID001399</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t="s">
        <v>15807</v>
      </c>
      <c r="R38" s="182" t="str">
        <f ca="1">IF(ISERROR($V38),"",OFFSET('Smelter Look-up'!$C$4,$V38-4,0)&amp;"")</f>
        <v>PT Artha Cipta Langgeng</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487</v>
      </c>
      <c r="X38" s="227">
        <f t="shared" ref="X38:X68" ca="1" si="7">IF(AND(C38="Smelter not listed",OR(LEN(D38)=0,LEN(E38)=0)),1,0)</f>
        <v>0</v>
      </c>
      <c r="AB38" s="228" t="str">
        <f t="shared" ref="AB38:AB68" ca="1" si="8">B38&amp;C38</f>
        <v>TinPT Artha Cipta Langgeng</v>
      </c>
    </row>
    <row r="39" spans="1:28" s="227" customFormat="1" ht="51">
      <c r="A39" s="181" t="s">
        <v>15110</v>
      </c>
      <c r="B39" s="182" t="str">
        <f ca="1">IF(LEN(A39)=0,"",INDEX('Smelter Look-up'!$A:$A,MATCH($A39,'Smelter Look-up'!$E:$E,0)))</f>
        <v>Tin</v>
      </c>
      <c r="C39" s="186" t="str">
        <f ca="1">IF(LEN(A39)=0,"",INDEX('Smelter Look-up'!$C:$C,MATCH($A39,'Smelter Look-up'!$E:$E,0)))</f>
        <v>PT Menara Cipta Mulia</v>
      </c>
      <c r="D39" s="230"/>
      <c r="E39" s="182" t="str">
        <f ca="1">IF(ISERROR($V39),"",OFFSET('Smelter Look-up'!$D$4,$V39-4,0)&amp;"")</f>
        <v>INDONESIA</v>
      </c>
      <c r="F39" s="182" t="str">
        <f ca="1">IF(ISERROR($V39),"",OFFSET('Smelter Look-up'!$E$4,$V39-4,0))</f>
        <v>CID002835</v>
      </c>
      <c r="G39" s="182" t="str">
        <f ca="1">IF(C39=$X$4,IF(ISERROR($V39),"Enter smelter details","RMI"),IF(ISERROR($V39),"",OFFSET('Smelter Look-up'!$F$4,$V39-4,0)))</f>
        <v>RMI</v>
      </c>
      <c r="H39" s="183">
        <f ca="1">IF(ISERROR($V39),"",OFFSET('Smelter Look-up'!$G$4,$V39-4,0))</f>
        <v>0</v>
      </c>
      <c r="I39" s="184" t="str">
        <f ca="1">IF(ISERROR($V39),"",OFFSET('Smelter Look-up'!$H$4,$V39-4,0))</f>
        <v>Mentawak</v>
      </c>
      <c r="J39" s="184" t="str">
        <f ca="1">IF(ISERROR($V39),"",OFFSET('Smelter Look-up'!$I$4,$V39-4,0))</f>
        <v>Kepulauan Bangka Belitung</v>
      </c>
      <c r="K39" s="224"/>
      <c r="L39" s="224"/>
      <c r="M39" s="224"/>
      <c r="N39" s="224"/>
      <c r="O39" s="224"/>
      <c r="P39" s="185"/>
      <c r="Q39" s="225" t="s">
        <v>15815</v>
      </c>
      <c r="R39" s="182" t="str">
        <f ca="1">IF(ISERROR($V39),"",OFFSET('Smelter Look-up'!$C$4,$V39-4,0)&amp;"")</f>
        <v>PT Menara Cipta Mulia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499</v>
      </c>
      <c r="X39" s="227">
        <f t="shared" ca="1" si="7"/>
        <v>0</v>
      </c>
      <c r="AB39" s="228" t="str">
        <f t="shared" ca="1" si="8"/>
        <v>TinPT Menara Cipta Mulia</v>
      </c>
    </row>
    <row r="40" spans="1:28" s="227" customFormat="1" ht="25.5">
      <c r="A40" s="181" t="s">
        <v>783</v>
      </c>
      <c r="B40" s="182" t="str">
        <f ca="1">IF(LEN(A40)=0,"",INDEX('Smelter Look-up'!$A:$A,MATCH($A40,'Smelter Look-up'!$E:$E,0)))</f>
        <v>Tin</v>
      </c>
      <c r="C40" s="186" t="str">
        <f ca="1">IF(LEN(A40)=0,"",INDEX('Smelter Look-up'!$C:$C,MATCH($A40,'Smelter Look-up'!$E:$E,0)))</f>
        <v>Rui Da Hung</v>
      </c>
      <c r="D40" s="230"/>
      <c r="E40" s="182" t="str">
        <f ca="1">IF(ISERROR($V40),"",OFFSET('Smelter Look-up'!$D$4,$V40-4,0)&amp;"")</f>
        <v>TAIWAN, PROVINCE OF CHINA</v>
      </c>
      <c r="F40" s="182" t="str">
        <f ca="1">IF(ISERROR($V40),"",OFFSET('Smelter Look-up'!$E$4,$V40-4,0))</f>
        <v>CID001539</v>
      </c>
      <c r="G40" s="182" t="str">
        <f ca="1">IF(C40=$X$4,IF(ISERROR($V40),"Enter smelter details","RMI"),IF(ISERROR($V40),"",OFFSET('Smelter Look-up'!$F$4,$V40-4,0)))</f>
        <v>RMI</v>
      </c>
      <c r="H40" s="183">
        <f ca="1">IF(ISERROR($V40),"",OFFSET('Smelter Look-up'!$G$4,$V40-4,0))</f>
        <v>0</v>
      </c>
      <c r="I40" s="184" t="str">
        <f ca="1">IF(ISERROR($V40),"",OFFSET('Smelter Look-up'!$H$4,$V40-4,0))</f>
        <v>Longtan Shiang Taoyuan</v>
      </c>
      <c r="J40" s="184" t="str">
        <f ca="1">IF(ISERROR($V40),"",OFFSET('Smelter Look-up'!$I$4,$V40-4,0))</f>
        <v>Taoyuan</v>
      </c>
      <c r="K40" s="224"/>
      <c r="L40" s="224"/>
      <c r="M40" s="224"/>
      <c r="N40" s="224"/>
      <c r="O40" s="224"/>
      <c r="P40" s="185"/>
      <c r="Q40" s="225" t="s">
        <v>15807</v>
      </c>
      <c r="R40" s="182" t="str">
        <f ca="1">IF(ISERROR($V40),"",OFFSET('Smelter Look-up'!$C$4,$V40-4,0)&amp;"")</f>
        <v>Rui Da Hung</v>
      </c>
      <c r="S40" s="181" t="str">
        <f t="shared" ca="1" si="6"/>
        <v>TW</v>
      </c>
      <c r="T40" s="181" t="str">
        <f ca="1">IF(B40="","",IF(ISERROR(MATCH($J40,SorP!$B$1:$B$6279,0)),"",INDIRECT("'SorP'!$A$"&amp;MATCH($S40&amp;$J40,SorP!C:C,0))))</f>
        <v>TW-TAO</v>
      </c>
      <c r="U40" s="201"/>
      <c r="V40" s="226">
        <f ca="1">IF(C40="",NA(),IF(OR(C40="Smelter not listed",C40="Smelter not yet identified"),MATCH($B40&amp;$D40,'Smelter Look-up'!$J:$J,0),MATCH($B40&amp;$C40,'Smelter Look-up'!$J:$J,0)))</f>
        <v>521</v>
      </c>
      <c r="X40" s="227">
        <f t="shared" ca="1" si="7"/>
        <v>0</v>
      </c>
      <c r="AB40" s="228" t="str">
        <f t="shared" ca="1" si="8"/>
        <v>TinRui Da Hung</v>
      </c>
    </row>
    <row r="41" spans="1:28" s="227" customFormat="1" ht="51">
      <c r="A41" s="181" t="s">
        <v>13184</v>
      </c>
      <c r="B41" s="182" t="str">
        <f ca="1">IF(LEN(A41)=0,"",INDEX('Smelter Look-up'!$A:$A,MATCH($A41,'Smelter Look-up'!$E:$E,0)))</f>
        <v>Tin</v>
      </c>
      <c r="C41" s="186" t="str">
        <f ca="1">IF(LEN(A41)=0,"",INDEX('Smelter Look-up'!$C:$C,MATCH($A41,'Smelter Look-up'!$E:$E,0)))</f>
        <v>Tin Technology &amp; Refining</v>
      </c>
      <c r="D41" s="230"/>
      <c r="E41" s="182" t="str">
        <f ca="1">IF(ISERROR($V41),"",OFFSET('Smelter Look-up'!$D$4,$V41-4,0)&amp;"")</f>
        <v>UNITED STATES OF AMERICA</v>
      </c>
      <c r="F41" s="182" t="str">
        <f ca="1">IF(ISERROR($V41),"",OFFSET('Smelter Look-up'!$E$4,$V41-4,0))</f>
        <v>CID003325</v>
      </c>
      <c r="G41" s="182" t="str">
        <f ca="1">IF(C41=$X$4,IF(ISERROR($V41),"Enter smelter details","RMI"),IF(ISERROR($V41),"",OFFSET('Smelter Look-up'!$F$4,$V41-4,0)))</f>
        <v>RMI</v>
      </c>
      <c r="H41" s="183">
        <f ca="1">IF(ISERROR($V41),"",OFFSET('Smelter Look-up'!$G$4,$V41-4,0))</f>
        <v>0</v>
      </c>
      <c r="I41" s="184" t="str">
        <f ca="1">IF(ISERROR($V41),"",OFFSET('Smelter Look-up'!$H$4,$V41-4,0))</f>
        <v>West Chester</v>
      </c>
      <c r="J41" s="184" t="str">
        <f ca="1">IF(ISERROR($V41),"",OFFSET('Smelter Look-up'!$I$4,$V41-4,0))</f>
        <v>Pennsylvania</v>
      </c>
      <c r="K41" s="224"/>
      <c r="L41" s="224"/>
      <c r="M41" s="224"/>
      <c r="N41" s="224"/>
      <c r="O41" s="224"/>
      <c r="P41" s="185"/>
      <c r="Q41" s="225" t="s">
        <v>15807</v>
      </c>
      <c r="R41" s="182" t="str">
        <f ca="1">IF(ISERROR($V41),"",OFFSET('Smelter Look-up'!$C$4,$V41-4,0)&amp;"")</f>
        <v>Tin Technology &amp; Refining</v>
      </c>
      <c r="S41" s="181" t="str">
        <f t="shared" ca="1" si="6"/>
        <v>US</v>
      </c>
      <c r="T41" s="181" t="str">
        <f ca="1">IF(B41="","",IF(ISERROR(MATCH($J41,SorP!$B$1:$B$6279,0)),"",INDIRECT("'SorP'!$A$"&amp;MATCH($S41&amp;$J41,SorP!C:C,0))))</f>
        <v>US-PA</v>
      </c>
      <c r="U41" s="201"/>
      <c r="V41" s="226">
        <f ca="1">IF(C41="",NA(),IF(OR(C41="Smelter not listed",C41="Smelter not yet identified"),MATCH($B41&amp;$D41,'Smelter Look-up'!$J:$J,0),MATCH($B41&amp;$C41,'Smelter Look-up'!$J:$J,0)))</f>
        <v>530</v>
      </c>
      <c r="X41" s="227">
        <f t="shared" ca="1" si="7"/>
        <v>0</v>
      </c>
      <c r="AB41" s="228" t="str">
        <f t="shared" ca="1" si="8"/>
        <v>TinTin Technology &amp; Refining</v>
      </c>
    </row>
    <row r="42" spans="1:28" s="227" customFormat="1" ht="38.25">
      <c r="A42" s="181" t="s">
        <v>15092</v>
      </c>
      <c r="B42" s="182" t="str">
        <f ca="1">IF(LEN(A42)=0,"",INDEX('Smelter Look-up'!$A:$A,MATCH($A42,'Smelter Look-up'!$E:$E,0)))</f>
        <v>Tin</v>
      </c>
      <c r="C42" s="186" t="str">
        <f ca="1">IF(LEN(A42)=0,"",INDEX('Smelter Look-up'!$C:$C,MATCH($A42,'Smelter Look-up'!$E:$E,0)))</f>
        <v>CRM Synergies</v>
      </c>
      <c r="D42" s="230"/>
      <c r="E42" s="182" t="str">
        <f ca="1">IF(ISERROR($V42),"",OFFSET('Smelter Look-up'!$D$4,$V42-4,0)&amp;"")</f>
        <v>SPAIN</v>
      </c>
      <c r="F42" s="182" t="str">
        <f ca="1">IF(ISERROR($V42),"",OFFSET('Smelter Look-up'!$E$4,$V42-4,0))</f>
        <v>CID003524</v>
      </c>
      <c r="G42" s="182" t="str">
        <f ca="1">IF(C42=$X$4,IF(ISERROR($V42),"Enter smelter details","RMI"),IF(ISERROR($V42),"",OFFSET('Smelter Look-up'!$F$4,$V42-4,0)))</f>
        <v>RMI</v>
      </c>
      <c r="H42" s="183">
        <f ca="1">IF(ISERROR($V42),"",OFFSET('Smelter Look-up'!$G$4,$V42-4,0))</f>
        <v>0</v>
      </c>
      <c r="I42" s="184" t="str">
        <f ca="1">IF(ISERROR($V42),"",OFFSET('Smelter Look-up'!$H$4,$V42-4,0))</f>
        <v>Toledo</v>
      </c>
      <c r="J42" s="184" t="str">
        <f ca="1">IF(ISERROR($V42),"",OFFSET('Smelter Look-up'!$I$4,$V42-4,0))</f>
        <v>Toledo</v>
      </c>
      <c r="K42" s="224"/>
      <c r="L42" s="224"/>
      <c r="M42" s="224"/>
      <c r="N42" s="224"/>
      <c r="O42" s="224"/>
      <c r="P42" s="185"/>
      <c r="Q42" s="225" t="s">
        <v>15805</v>
      </c>
      <c r="R42" s="182" t="str">
        <f ca="1">IF(ISERROR($V42),"",OFFSET('Smelter Look-up'!$C$4,$V42-4,0)&amp;"")</f>
        <v>CRM Synergies</v>
      </c>
      <c r="S42" s="181" t="str">
        <f t="shared" ca="1" si="6"/>
        <v>ES</v>
      </c>
      <c r="T42" s="181" t="str">
        <f ca="1">IF(B42="","",IF(ISERROR(MATCH($J42,SorP!$B$1:$B$6279,0)),"",INDIRECT("'SorP'!$A$"&amp;MATCH($S42&amp;$J42,SorP!C:C,0))))</f>
        <v>ES-TO</v>
      </c>
      <c r="U42" s="201"/>
      <c r="V42" s="226">
        <f ca="1">IF(C42="",NA(),IF(OR(C42="Smelter not listed",C42="Smelter not yet identified"),MATCH($B42&amp;$D42,'Smelter Look-up'!$J:$J,0),MATCH($B42&amp;$C42,'Smelter Look-up'!$J:$J,0)))</f>
        <v>411</v>
      </c>
      <c r="X42" s="227">
        <f t="shared" ca="1" si="7"/>
        <v>0</v>
      </c>
      <c r="AB42" s="228" t="str">
        <f t="shared" ca="1" si="8"/>
        <v>TinCRM Synergies</v>
      </c>
    </row>
    <row r="43" spans="1:28" s="227" customFormat="1" ht="89.25">
      <c r="A43" s="181" t="s">
        <v>767</v>
      </c>
      <c r="B43" s="182" t="str">
        <f ca="1">IF(LEN(A43)=0,"",INDEX('Smelter Look-up'!$A:$A,MATCH($A43,'Smelter Look-up'!$E:$E,0)))</f>
        <v>Tin</v>
      </c>
      <c r="C43" s="186" t="str">
        <f ca="1">IF(LEN(A43)=0,"",INDEX('Smelter Look-up'!$C:$C,MATCH($A43,'Smelter Look-up'!$E:$E,0)))</f>
        <v>Gejiu Non-Ferrous Metal Processing Co., Ltd.</v>
      </c>
      <c r="D43" s="230"/>
      <c r="E43" s="182" t="str">
        <f ca="1">IF(ISERROR($V43),"",OFFSET('Smelter Look-up'!$D$4,$V43-4,0)&amp;"")</f>
        <v>CHINA</v>
      </c>
      <c r="F43" s="182" t="str">
        <f ca="1">IF(ISERROR($V43),"",OFFSET('Smelter Look-up'!$E$4,$V43-4,0))</f>
        <v>CID000538</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t="s">
        <v>15807</v>
      </c>
      <c r="R43" s="182" t="str">
        <f ca="1">IF(ISERROR($V43),"",OFFSET('Smelter Look-up'!$C$4,$V43-4,0)&amp;"")</f>
        <v>Gejiu Non-Ferrous Metal Processing Co., Ltd.</v>
      </c>
      <c r="S43" s="181" t="str">
        <f t="shared" ca="1" si="6"/>
        <v>CN</v>
      </c>
      <c r="T43" s="181" t="str">
        <f ca="1">IF(B43="","",IF(ISERROR(MATCH($J43,SorP!$B$1:$B$6279,0)),"",INDIRECT("'SorP'!$A$"&amp;MATCH($S43&amp;$J43,SorP!C:C,0))))</f>
        <v>CN-YN</v>
      </c>
      <c r="U43" s="201"/>
      <c r="V43" s="226">
        <f ca="1">IF(C43="",NA(),IF(OR(C43="Smelter not listed",C43="Smelter not yet identified"),MATCH($B43&amp;$D43,'Smelter Look-up'!$J:$J,0),MATCH($B43&amp;$C43,'Smelter Look-up'!$J:$J,0)))</f>
        <v>436</v>
      </c>
      <c r="X43" s="227">
        <f t="shared" ca="1" si="7"/>
        <v>0</v>
      </c>
      <c r="AB43" s="228" t="str">
        <f t="shared" ca="1" si="8"/>
        <v>TinGejiu Non-Ferrous Metal Processing Co., Ltd.</v>
      </c>
    </row>
    <row r="44" spans="1:28" s="227" customFormat="1" ht="63.75">
      <c r="A44" s="181" t="s">
        <v>770</v>
      </c>
      <c r="B44" s="182" t="str">
        <f ca="1">IF(LEN(A44)=0,"",INDEX('Smelter Look-up'!$A:$A,MATCH($A44,'Smelter Look-up'!$E:$E,0)))</f>
        <v>Tin</v>
      </c>
      <c r="C44" s="186" t="str">
        <f ca="1">IF(LEN(A44)=0,"",INDEX('Smelter Look-up'!$C:$C,MATCH($A44,'Smelter Look-up'!$E:$E,0)))</f>
        <v>China Tin Group Co., Ltd.</v>
      </c>
      <c r="D44" s="230"/>
      <c r="E44" s="182" t="str">
        <f ca="1">IF(ISERROR($V44),"",OFFSET('Smelter Look-up'!$D$4,$V44-4,0)&amp;"")</f>
        <v>CHINA</v>
      </c>
      <c r="F44" s="182" t="str">
        <f ca="1">IF(ISERROR($V44),"",OFFSET('Smelter Look-up'!$E$4,$V44-4,0))</f>
        <v>CID001070</v>
      </c>
      <c r="G44" s="182" t="str">
        <f ca="1">IF(C44=$X$4,IF(ISERROR($V44),"Enter smelter details","RMI"),IF(ISERROR($V44),"",OFFSET('Smelter Look-up'!$F$4,$V44-4,0)))</f>
        <v>RMI</v>
      </c>
      <c r="H44" s="183">
        <f ca="1">IF(ISERROR($V44),"",OFFSET('Smelter Look-up'!$G$4,$V44-4,0))</f>
        <v>0</v>
      </c>
      <c r="I44" s="184" t="str">
        <f ca="1">IF(ISERROR($V44),"",OFFSET('Smelter Look-up'!$H$4,$V44-4,0))</f>
        <v>Laibin</v>
      </c>
      <c r="J44" s="184" t="str">
        <f ca="1">IF(ISERROR($V44),"",OFFSET('Smelter Look-up'!$I$4,$V44-4,0))</f>
        <v>Guangxi Zhuangzu Zizhiqu</v>
      </c>
      <c r="K44" s="224"/>
      <c r="L44" s="224"/>
      <c r="M44" s="224"/>
      <c r="N44" s="224"/>
      <c r="O44" s="224"/>
      <c r="P44" s="185"/>
      <c r="Q44" s="225" t="s">
        <v>15815</v>
      </c>
      <c r="R44" s="182" t="str">
        <f ca="1">IF(ISERROR($V44),"",OFFSET('Smelter Look-up'!$C$4,$V44-4,0)&amp;"")</f>
        <v>China Tin Group Co., Ltd.</v>
      </c>
      <c r="S44" s="181" t="str">
        <f t="shared" ca="1" si="6"/>
        <v>CN</v>
      </c>
      <c r="T44" s="181" t="str">
        <f ca="1">IF(B44="","",IF(ISERROR(MATCH($J44,SorP!$B$1:$B$6279,0)),"",INDIRECT("'SorP'!$A$"&amp;MATCH($S44&amp;$J44,SorP!C:C,0))))</f>
        <v>CN-GX</v>
      </c>
      <c r="U44" s="201"/>
      <c r="V44" s="226">
        <f ca="1">IF(C44="",NA(),IF(OR(C44="Smelter not listed",C44="Smelter not yet identified"),MATCH($B44&amp;$D44,'Smelter Look-up'!$J:$J,0),MATCH($B44&amp;$C44,'Smelter Look-up'!$J:$J,0)))</f>
        <v>403</v>
      </c>
      <c r="X44" s="227">
        <f t="shared" ca="1" si="7"/>
        <v>0</v>
      </c>
      <c r="AB44" s="228" t="str">
        <f t="shared" ca="1" si="8"/>
        <v>TinChina Tin Group Co., Ltd.</v>
      </c>
    </row>
    <row r="45" spans="1:28" s="227" customFormat="1" ht="102">
      <c r="A45" s="181" t="s">
        <v>786</v>
      </c>
      <c r="B45" s="182" t="str">
        <f ca="1">IF(LEN(A45)=0,"",INDEX('Smelter Look-up'!$A:$A,MATCH($A45,'Smelter Look-up'!$E:$E,0)))</f>
        <v>Tin</v>
      </c>
      <c r="C45" s="186" t="str">
        <f ca="1">IF(LEN(A45)=0,"",INDEX('Smelter Look-up'!$C:$C,MATCH($A45,'Smelter Look-up'!$E:$E,0)))</f>
        <v>Yunnan Chengfeng Non-ferrous Metals Co., Ltd.</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t="s">
        <v>15808</v>
      </c>
      <c r="R45" s="182" t="str">
        <f ca="1">IF(ISERROR($V45),"",OFFSET('Smelter Look-up'!$C$4,$V45-4,0)&amp;"")</f>
        <v>Yunnan Chengfeng Non-ferrous Metals Co., Ltd.</v>
      </c>
      <c r="S45" s="181" t="str">
        <f t="shared" ca="1" si="6"/>
        <v>CN</v>
      </c>
      <c r="T45" s="181" t="str">
        <f ca="1">IF(B45="","",IF(ISERROR(MATCH($J45,SorP!$B$1:$B$6279,0)),"",INDIRECT("'SorP'!$A$"&amp;MATCH($S45&amp;$J45,SorP!C:C,0))))</f>
        <v>CN-YN</v>
      </c>
      <c r="U45" s="201"/>
      <c r="V45" s="226">
        <f ca="1">IF(C45="",NA(),IF(OR(C45="Smelter not listed",C45="Smelter not yet identified"),MATCH($B45&amp;$D45,'Smelter Look-up'!$J:$J,0),MATCH($B45&amp;$C45,'Smelter Look-up'!$J:$J,0)))</f>
        <v>543</v>
      </c>
      <c r="X45" s="227">
        <f t="shared" ca="1" si="7"/>
        <v>0</v>
      </c>
      <c r="AB45" s="228" t="str">
        <f t="shared" ca="1" si="8"/>
        <v>TinYunnan Chengfeng Non-ferrous Metals Co., Ltd.</v>
      </c>
    </row>
    <row r="46" spans="1:28" s="227" customFormat="1" ht="63.75">
      <c r="A46" s="181" t="s">
        <v>1397</v>
      </c>
      <c r="B46" s="182" t="str">
        <f ca="1">IF(LEN(A46)=0,"",INDEX('Smelter Look-up'!$A:$A,MATCH($A46,'Smelter Look-up'!$E:$E,0)))</f>
        <v>Tin</v>
      </c>
      <c r="C46" s="186" t="str">
        <f ca="1">IF(LEN(A46)=0,"",INDEX('Smelter Look-up'!$C:$C,MATCH($A46,'Smelter Look-up'!$E:$E,0)))</f>
        <v>O.M. Manufacturing Philippines, Inc.</v>
      </c>
      <c r="D46" s="230"/>
      <c r="E46" s="182" t="str">
        <f ca="1">IF(ISERROR($V46),"",OFFSET('Smelter Look-up'!$D$4,$V46-4,0)&amp;"")</f>
        <v>PHILIPPINES</v>
      </c>
      <c r="F46" s="182" t="str">
        <f ca="1">IF(ISERROR($V46),"",OFFSET('Smelter Look-up'!$E$4,$V46-4,0))</f>
        <v>CID002517</v>
      </c>
      <c r="G46" s="182" t="str">
        <f ca="1">IF(C46=$X$4,IF(ISERROR($V46),"Enter smelter details","RMI"),IF(ISERROR($V46),"",OFFSET('Smelter Look-up'!$F$4,$V46-4,0)))</f>
        <v>RMI</v>
      </c>
      <c r="H46" s="183">
        <f ca="1">IF(ISERROR($V46),"",OFFSET('Smelter Look-up'!$G$4,$V46-4,0))</f>
        <v>0</v>
      </c>
      <c r="I46" s="184" t="str">
        <f ca="1">IF(ISERROR($V46),"",OFFSET('Smelter Look-up'!$H$4,$V46-4,0))</f>
        <v>Rosario</v>
      </c>
      <c r="J46" s="184" t="str">
        <f ca="1">IF(ISERROR($V46),"",OFFSET('Smelter Look-up'!$I$4,$V46-4,0))</f>
        <v>Cavite</v>
      </c>
      <c r="K46" s="224"/>
      <c r="L46" s="224"/>
      <c r="M46" s="224"/>
      <c r="N46" s="224"/>
      <c r="O46" s="224"/>
      <c r="P46" s="185"/>
      <c r="Q46" s="225" t="s">
        <v>15805</v>
      </c>
      <c r="R46" s="182" t="str">
        <f ca="1">IF(ISERROR($V46),"",OFFSET('Smelter Look-up'!$C$4,$V46-4,0)&amp;"")</f>
        <v>O.M. Manufacturing Philippines, Inc.</v>
      </c>
      <c r="S46" s="181" t="str">
        <f t="shared" ca="1" si="6"/>
        <v>PH</v>
      </c>
      <c r="T46" s="181" t="str">
        <f ca="1">IF(B46="","",IF(ISERROR(MATCH($J46,SorP!$B$1:$B$6279,0)),"",INDIRECT("'SorP'!$A$"&amp;MATCH($S46&amp;$J46,SorP!C:C,0))))</f>
        <v>PH-CAV</v>
      </c>
      <c r="U46" s="201"/>
      <c r="V46" s="226">
        <f ca="1">IF(C46="",NA(),IF(OR(C46="Smelter not listed",C46="Smelter not yet identified"),MATCH($B46&amp;$D46,'Smelter Look-up'!$J:$J,0),MATCH($B46&amp;$C46,'Smelter Look-up'!$J:$J,0)))</f>
        <v>480</v>
      </c>
      <c r="X46" s="227">
        <f t="shared" ca="1" si="7"/>
        <v>0</v>
      </c>
      <c r="AB46" s="228" t="str">
        <f t="shared" ca="1" si="8"/>
        <v>TinO.M. Manufacturing Philippines, Inc.</v>
      </c>
    </row>
    <row r="47" spans="1:28" s="227" customFormat="1" ht="76.5">
      <c r="A47" s="181" t="s">
        <v>776</v>
      </c>
      <c r="B47" s="182" t="str">
        <f ca="1">IF(LEN(A47)=0,"",INDEX('Smelter Look-up'!$A:$A,MATCH($A47,'Smelter Look-up'!$E:$E,0)))</f>
        <v>Tin</v>
      </c>
      <c r="C47" s="186" t="str">
        <f ca="1">IF(LEN(A47)=0,"",INDEX('Smelter Look-up'!$C:$C,MATCH($A47,'Smelter Look-up'!$E:$E,0)))</f>
        <v>O.M. Manufacturing (Thailand) Co., Ltd.</v>
      </c>
      <c r="D47" s="230"/>
      <c r="E47" s="182" t="str">
        <f ca="1">IF(ISERROR($V47),"",OFFSET('Smelter Look-up'!$D$4,$V47-4,0)&amp;"")</f>
        <v>THAILAND</v>
      </c>
      <c r="F47" s="182" t="str">
        <f ca="1">IF(ISERROR($V47),"",OFFSET('Smelter Look-up'!$E$4,$V47-4,0))</f>
        <v>CID001314</v>
      </c>
      <c r="G47" s="182" t="str">
        <f ca="1">IF(C47=$X$4,IF(ISERROR($V47),"Enter smelter details","RMI"),IF(ISERROR($V47),"",OFFSET('Smelter Look-up'!$F$4,$V47-4,0)))</f>
        <v>RMI</v>
      </c>
      <c r="H47" s="183">
        <f ca="1">IF(ISERROR($V47),"",OFFSET('Smelter Look-up'!$G$4,$V47-4,0))</f>
        <v>0</v>
      </c>
      <c r="I47" s="184" t="str">
        <f ca="1">IF(ISERROR($V47),"",OFFSET('Smelter Look-up'!$H$4,$V47-4,0))</f>
        <v>Nongkham Sriracha</v>
      </c>
      <c r="J47" s="184" t="str">
        <f ca="1">IF(ISERROR($V47),"",OFFSET('Smelter Look-up'!$I$4,$V47-4,0))</f>
        <v>Chon Buri</v>
      </c>
      <c r="K47" s="224"/>
      <c r="L47" s="224"/>
      <c r="M47" s="224"/>
      <c r="N47" s="224"/>
      <c r="O47" s="224"/>
      <c r="P47" s="185"/>
      <c r="Q47" s="225" t="s">
        <v>15807</v>
      </c>
      <c r="R47" s="182" t="str">
        <f ca="1">IF(ISERROR($V47),"",OFFSET('Smelter Look-up'!$C$4,$V47-4,0)&amp;"")</f>
        <v>O.M. Manufacturing (Thailand) Co., Ltd.</v>
      </c>
      <c r="S47" s="181" t="str">
        <f t="shared" ca="1" si="6"/>
        <v>TH</v>
      </c>
      <c r="T47" s="181" t="str">
        <f ca="1">IF(B47="","",IF(ISERROR(MATCH($J47,SorP!$B$1:$B$6279,0)),"",INDIRECT("'SorP'!$A$"&amp;MATCH($S47&amp;$J47,SorP!C:C,0))))</f>
        <v>TH-20</v>
      </c>
      <c r="U47" s="201"/>
      <c r="V47" s="226">
        <f ca="1">IF(C47="",NA(),IF(OR(C47="Smelter not listed",C47="Smelter not yet identified"),MATCH($B47&amp;$D47,'Smelter Look-up'!$J:$J,0),MATCH($B47&amp;$C47,'Smelter Look-up'!$J:$J,0)))</f>
        <v>479</v>
      </c>
      <c r="X47" s="227">
        <f t="shared" ca="1" si="7"/>
        <v>0</v>
      </c>
      <c r="AB47" s="228" t="str">
        <f t="shared" ca="1" si="8"/>
        <v>TinO.M. Manufacturing (Thailand) Co., Ltd.</v>
      </c>
    </row>
    <row r="48" spans="1:28" s="227" customFormat="1" ht="51">
      <c r="A48" s="181" t="s">
        <v>1781</v>
      </c>
      <c r="B48" s="182" t="str">
        <f ca="1">IF(LEN(A48)=0,"",INDEX('Smelter Look-up'!$A:$A,MATCH($A48,'Smelter Look-up'!$E:$E,0)))</f>
        <v>Tin</v>
      </c>
      <c r="C48" s="186" t="str">
        <f ca="1">IF(LEN(A48)=0,"",INDEX('Smelter Look-up'!$C:$C,MATCH($A48,'Smelter Look-up'!$E:$E,0)))</f>
        <v>Metallic Resources, Inc.</v>
      </c>
      <c r="D48" s="230"/>
      <c r="E48" s="182" t="str">
        <f ca="1">IF(ISERROR($V48),"",OFFSET('Smelter Look-up'!$D$4,$V48-4,0)&amp;"")</f>
        <v>UNITED STATES OF AMERICA</v>
      </c>
      <c r="F48" s="182" t="str">
        <f ca="1">IF(ISERROR($V48),"",OFFSET('Smelter Look-up'!$E$4,$V48-4,0))</f>
        <v>CID001142</v>
      </c>
      <c r="G48" s="182" t="str">
        <f ca="1">IF(C48=$X$4,IF(ISERROR($V48),"Enter smelter details","RMI"),IF(ISERROR($V48),"",OFFSET('Smelter Look-up'!$F$4,$V48-4,0)))</f>
        <v>RMI</v>
      </c>
      <c r="H48" s="183">
        <f ca="1">IF(ISERROR($V48),"",OFFSET('Smelter Look-up'!$G$4,$V48-4,0))</f>
        <v>0</v>
      </c>
      <c r="I48" s="184" t="str">
        <f ca="1">IF(ISERROR($V48),"",OFFSET('Smelter Look-up'!$H$4,$V48-4,0))</f>
        <v>Twinsburg</v>
      </c>
      <c r="J48" s="184" t="str">
        <f ca="1">IF(ISERROR($V48),"",OFFSET('Smelter Look-up'!$I$4,$V48-4,0))</f>
        <v>Ohio</v>
      </c>
      <c r="K48" s="224"/>
      <c r="L48" s="224"/>
      <c r="M48" s="224"/>
      <c r="N48" s="224"/>
      <c r="O48" s="224"/>
      <c r="P48" s="185"/>
      <c r="Q48" s="225" t="s">
        <v>15815</v>
      </c>
      <c r="R48" s="182" t="str">
        <f ca="1">IF(ISERROR($V48),"",OFFSET('Smelter Look-up'!$C$4,$V48-4,0)&amp;"")</f>
        <v>Metallic Resources, Inc.</v>
      </c>
      <c r="S48" s="181" t="str">
        <f t="shared" ca="1" si="6"/>
        <v>US</v>
      </c>
      <c r="T48" s="181" t="str">
        <f ca="1">IF(B48="","",IF(ISERROR(MATCH($J48,SorP!$B$1:$B$6279,0)),"",INDIRECT("'SorP'!$A$"&amp;MATCH($S48&amp;$J48,SorP!C:C,0))))</f>
        <v>US-OH</v>
      </c>
      <c r="U48" s="201"/>
      <c r="V48" s="226">
        <f ca="1">IF(C48="",NA(),IF(OR(C48="Smelter not listed",C48="Smelter not yet identified"),MATCH($B48&amp;$D48,'Smelter Look-up'!$J:$J,0),MATCH($B48&amp;$C48,'Smelter Look-up'!$J:$J,0)))</f>
        <v>462</v>
      </c>
      <c r="X48" s="227">
        <f t="shared" ca="1" si="7"/>
        <v>0</v>
      </c>
      <c r="AB48" s="228" t="str">
        <f t="shared" ca="1" si="8"/>
        <v>TinMetallic Resources, Inc.</v>
      </c>
    </row>
    <row r="49" spans="1:28" s="227" customFormat="1" ht="63.75">
      <c r="A49" s="181" t="s">
        <v>1788</v>
      </c>
      <c r="B49" s="182" t="str">
        <f ca="1">IF(LEN(A49)=0,"",INDEX('Smelter Look-up'!$A:$A,MATCH($A49,'Smelter Look-up'!$E:$E,0)))</f>
        <v>Tin</v>
      </c>
      <c r="C49" s="186" t="str">
        <f ca="1">IF(LEN(A49)=0,"",INDEX('Smelter Look-up'!$C:$C,MATCH($A49,'Smelter Look-up'!$E:$E,0)))</f>
        <v>Jiangxi New Nanshan Technology Ltd.</v>
      </c>
      <c r="D49" s="230"/>
      <c r="E49" s="182" t="str">
        <f ca="1">IF(ISERROR($V49),"",OFFSET('Smelter Look-up'!$D$4,$V49-4,0)&amp;"")</f>
        <v>CHINA</v>
      </c>
      <c r="F49" s="182" t="str">
        <f ca="1">IF(ISERROR($V49),"",OFFSET('Smelter Look-up'!$E$4,$V49-4,0))</f>
        <v>CID001231</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t="s">
        <v>15805</v>
      </c>
      <c r="R49" s="182" t="str">
        <f ca="1">IF(ISERROR($V49),"",OFFSET('Smelter Look-up'!$C$4,$V49-4,0)&amp;"")</f>
        <v>Jiangxi New Nanshan Technology Ltd.</v>
      </c>
      <c r="S49" s="181" t="str">
        <f t="shared" ca="1" si="6"/>
        <v>CN</v>
      </c>
      <c r="T49" s="181" t="str">
        <f ca="1">IF(B49="","",IF(ISERROR(MATCH($J49,SorP!$B$1:$B$6279,0)),"",INDIRECT("'SorP'!$A$"&amp;MATCH($S49&amp;$J49,SorP!C:C,0))))</f>
        <v>CN-JX</v>
      </c>
      <c r="U49" s="201"/>
      <c r="V49" s="226">
        <f ca="1">IF(C49="",NA(),IF(OR(C49="Smelter not listed",C49="Smelter not yet identified"),MATCH($B49&amp;$D49,'Smelter Look-up'!$J:$J,0),MATCH($B49&amp;$C49,'Smelter Look-up'!$J:$J,0)))</f>
        <v>450</v>
      </c>
      <c r="X49" s="227">
        <f t="shared" ca="1" si="7"/>
        <v>0</v>
      </c>
      <c r="AB49" s="228" t="str">
        <f t="shared" ca="1" si="8"/>
        <v>TinJiangxi New Nanshan Technology Ltd.</v>
      </c>
    </row>
    <row r="50" spans="1:28" s="227" customFormat="1" ht="38.25">
      <c r="A50" s="181" t="s">
        <v>1817</v>
      </c>
      <c r="B50" s="182" t="str">
        <f ca="1">IF(LEN(A50)=0,"",INDEX('Smelter Look-up'!$A:$A,MATCH($A50,'Smelter Look-up'!$E:$E,0)))</f>
        <v>Tin</v>
      </c>
      <c r="C50" s="186" t="str">
        <f ca="1">IF(LEN(A50)=0,"",INDEX('Smelter Look-up'!$C:$C,MATCH($A50,'Smelter Look-up'!$E:$E,0)))</f>
        <v>Aurubis Berango</v>
      </c>
      <c r="D50" s="230"/>
      <c r="E50" s="182" t="str">
        <f ca="1">IF(ISERROR($V50),"",OFFSET('Smelter Look-up'!$D$4,$V50-4,0)&amp;"")</f>
        <v>SPAIN</v>
      </c>
      <c r="F50" s="182" t="str">
        <f ca="1">IF(ISERROR($V50),"",OFFSET('Smelter Look-up'!$E$4,$V50-4,0))</f>
        <v>CID002774</v>
      </c>
      <c r="G50" s="182" t="str">
        <f ca="1">IF(C50=$X$4,IF(ISERROR($V50),"Enter smelter details","RMI"),IF(ISERROR($V50),"",OFFSET('Smelter Look-up'!$F$4,$V50-4,0)))</f>
        <v>RMI</v>
      </c>
      <c r="H50" s="183">
        <f ca="1">IF(ISERROR($V50),"",OFFSET('Smelter Look-up'!$G$4,$V50-4,0))</f>
        <v>0</v>
      </c>
      <c r="I50" s="184" t="str">
        <f ca="1">IF(ISERROR($V50),"",OFFSET('Smelter Look-up'!$H$4,$V50-4,0))</f>
        <v>Berango</v>
      </c>
      <c r="J50" s="184" t="str">
        <f ca="1">IF(ISERROR($V50),"",OFFSET('Smelter Look-up'!$I$4,$V50-4,0))</f>
        <v>Bizkaia</v>
      </c>
      <c r="K50" s="224"/>
      <c r="L50" s="224"/>
      <c r="M50" s="224"/>
      <c r="N50" s="224"/>
      <c r="O50" s="224"/>
      <c r="P50" s="185"/>
      <c r="Q50" s="225" t="s">
        <v>15807</v>
      </c>
      <c r="R50" s="182" t="str">
        <f ca="1">IF(ISERROR($V50),"",OFFSET('Smelter Look-up'!$C$4,$V50-4,0)&amp;"")</f>
        <v>Aurubis Berango</v>
      </c>
      <c r="S50" s="181" t="str">
        <f t="shared" ca="1" si="6"/>
        <v>ES</v>
      </c>
      <c r="T50" s="181" t="str">
        <f ca="1">IF(B50="","",IF(ISERROR(MATCH($J50,SorP!$B$1:$B$6279,0)),"",INDIRECT("'SorP'!$A$"&amp;MATCH($S50&amp;$J50,SorP!C:C,0))))</f>
        <v>ES-BI</v>
      </c>
      <c r="U50" s="201"/>
      <c r="V50" s="226">
        <f ca="1">IF(C50="",NA(),IF(OR(C50="Smelter not listed",C50="Smelter not yet identified"),MATCH($B50&amp;$D50,'Smelter Look-up'!$J:$J,0),MATCH($B50&amp;$C50,'Smelter Look-up'!$J:$J,0)))</f>
        <v>395</v>
      </c>
      <c r="X50" s="227">
        <f t="shared" ca="1" si="7"/>
        <v>0</v>
      </c>
      <c r="AB50" s="228" t="str">
        <f t="shared" ca="1" si="8"/>
        <v>TinAurubis Berango</v>
      </c>
    </row>
    <row r="51" spans="1:28" s="227" customFormat="1" ht="102">
      <c r="A51" s="181" t="s">
        <v>2278</v>
      </c>
      <c r="B51" s="182" t="str">
        <f ca="1">IF(LEN(A51)=0,"",INDEX('Smelter Look-up'!$A:$A,MATCH($A51,'Smelter Look-up'!$E:$E,0)))</f>
        <v>Tin</v>
      </c>
      <c r="C51" s="186" t="str">
        <f ca="1">IF(LEN(A51)=0,"",INDEX('Smelter Look-up'!$C:$C,MATCH($A51,'Smelter Look-up'!$E:$E,0)))</f>
        <v>Chenzhou Yunxiang Mining and Metallurgy Co., Ltd.</v>
      </c>
      <c r="D51" s="230"/>
      <c r="E51" s="182" t="str">
        <f ca="1">IF(ISERROR($V51),"",OFFSET('Smelter Look-up'!$D$4,$V51-4,0)&amp;"")</f>
        <v>CHINA</v>
      </c>
      <c r="F51" s="182" t="str">
        <f ca="1">IF(ISERROR($V51),"",OFFSET('Smelter Look-up'!$E$4,$V51-4,0))</f>
        <v>CID000228</v>
      </c>
      <c r="G51" s="182" t="str">
        <f ca="1">IF(C51=$X$4,IF(ISERROR($V51),"Enter smelter details","RMI"),IF(ISERROR($V51),"",OFFSET('Smelter Look-up'!$F$4,$V51-4,0)))</f>
        <v>RMI</v>
      </c>
      <c r="H51" s="183">
        <f ca="1">IF(ISERROR($V51),"",OFFSET('Smelter Look-up'!$G$4,$V51-4,0))</f>
        <v>0</v>
      </c>
      <c r="I51" s="184" t="str">
        <f ca="1">IF(ISERROR($V51),"",OFFSET('Smelter Look-up'!$H$4,$V51-4,0))</f>
        <v>Chenzhou</v>
      </c>
      <c r="J51" s="184" t="str">
        <f ca="1">IF(ISERROR($V51),"",OFFSET('Smelter Look-up'!$I$4,$V51-4,0))</f>
        <v>Hunan Sheng</v>
      </c>
      <c r="K51" s="224"/>
      <c r="L51" s="224"/>
      <c r="M51" s="224"/>
      <c r="N51" s="224"/>
      <c r="O51" s="224"/>
      <c r="P51" s="185"/>
      <c r="Q51" s="225" t="s">
        <v>15807</v>
      </c>
      <c r="R51" s="182" t="str">
        <f ca="1">IF(ISERROR($V51),"",OFFSET('Smelter Look-up'!$C$4,$V51-4,0)&amp;"")</f>
        <v>Chenzhou Yunxiang Mining and Metallurgy Co., Ltd.</v>
      </c>
      <c r="S51" s="181" t="str">
        <f t="shared" ca="1" si="6"/>
        <v>CN</v>
      </c>
      <c r="T51" s="181" t="str">
        <f ca="1">IF(B51="","",IF(ISERROR(MATCH($J51,SorP!$B$1:$B$6279,0)),"",INDIRECT("'SorP'!$A$"&amp;MATCH($S51&amp;$J51,SorP!C:C,0))))</f>
        <v>CN-HN</v>
      </c>
      <c r="U51" s="201"/>
      <c r="V51" s="226">
        <f ca="1">IF(C51="",NA(),IF(OR(C51="Smelter not listed",C51="Smelter not yet identified"),MATCH($B51&amp;$D51,'Smelter Look-up'!$J:$J,0),MATCH($B51&amp;$C51,'Smelter Look-up'!$J:$J,0)))</f>
        <v>400</v>
      </c>
      <c r="X51" s="227">
        <f t="shared" ca="1" si="7"/>
        <v>0</v>
      </c>
      <c r="AB51" s="228" t="str">
        <f t="shared" ca="1" si="8"/>
        <v>TinChenzhou Yunxiang Mining and Metallurgy Co., Ltd.</v>
      </c>
    </row>
    <row r="52" spans="1:28" s="227" customFormat="1" ht="102">
      <c r="A52" s="181" t="s">
        <v>15100</v>
      </c>
      <c r="B52" s="182" t="str">
        <f ca="1">IF(LEN(A52)=0,"",INDEX('Smelter Look-up'!$A:$A,MATCH($A52,'Smelter Look-up'!$E:$E,0)))</f>
        <v>Tin</v>
      </c>
      <c r="C52" s="186" t="str">
        <f ca="1">IF(LEN(A52)=0,"",INDEX('Smelter Look-up'!$C:$C,MATCH($A52,'Smelter Look-up'!$E:$E,0)))</f>
        <v>Fabrica Auricchio Industria e Comercio Ltda.</v>
      </c>
      <c r="D52" s="230"/>
      <c r="E52" s="182" t="str">
        <f ca="1">IF(ISERROR($V52),"",OFFSET('Smelter Look-up'!$D$4,$V52-4,0)&amp;"")</f>
        <v>BRAZIL</v>
      </c>
      <c r="F52" s="182" t="str">
        <f ca="1">IF(ISERROR($V52),"",OFFSET('Smelter Look-up'!$E$4,$V52-4,0))</f>
        <v>CID003582</v>
      </c>
      <c r="G52" s="182" t="str">
        <f ca="1">IF(C52=$X$4,IF(ISERROR($V52),"Enter smelter details","RMI"),IF(ISERROR($V52),"",OFFSET('Smelter Look-up'!$F$4,$V52-4,0)))</f>
        <v>RMI</v>
      </c>
      <c r="H52" s="183">
        <f ca="1">IF(ISERROR($V52),"",OFFSET('Smelter Look-up'!$G$4,$V52-4,0))</f>
        <v>0</v>
      </c>
      <c r="I52" s="184" t="str">
        <f ca="1">IF(ISERROR($V52),"",OFFSET('Smelter Look-up'!$H$4,$V52-4,0))</f>
        <v>Mogi das Cruzes</v>
      </c>
      <c r="J52" s="184" t="str">
        <f ca="1">IF(ISERROR($V52),"",OFFSET('Smelter Look-up'!$I$4,$V52-4,0))</f>
        <v>São Paulo</v>
      </c>
      <c r="K52" s="224"/>
      <c r="L52" s="224"/>
      <c r="M52" s="224"/>
      <c r="N52" s="224"/>
      <c r="O52" s="224"/>
      <c r="P52" s="185"/>
      <c r="Q52" s="225" t="s">
        <v>15805</v>
      </c>
      <c r="R52" s="182" t="str">
        <f ca="1">IF(ISERROR($V52),"",OFFSET('Smelter Look-up'!$C$4,$V52-4,0)&amp;"")</f>
        <v>Fabrica Auricchio Industria e Comercio Ltda.</v>
      </c>
      <c r="S52" s="181" t="str">
        <f t="shared" ca="1" si="6"/>
        <v>BR</v>
      </c>
      <c r="T52" s="181" t="str">
        <f ca="1">IF(B52="","",IF(ISERROR(MATCH($J52,SorP!$B$1:$B$6279,0)),"",INDIRECT("'SorP'!$A$"&amp;MATCH($S52&amp;$J52,SorP!C:C,0))))</f>
        <v>BR-SP</v>
      </c>
      <c r="U52" s="201"/>
      <c r="V52" s="226">
        <f ca="1">IF(C52="",NA(),IF(OR(C52="Smelter not listed",C52="Smelter not yet identified"),MATCH($B52&amp;$D52,'Smelter Look-up'!$J:$J,0),MATCH($B52&amp;$C52,'Smelter Look-up'!$J:$J,0)))</f>
        <v>429</v>
      </c>
      <c r="X52" s="227">
        <f t="shared" ca="1" si="7"/>
        <v>0</v>
      </c>
      <c r="AB52" s="228" t="str">
        <f t="shared" ca="1" si="8"/>
        <v>TinFabrica Auricchio Industria e Comercio Ltda.</v>
      </c>
    </row>
    <row r="53" spans="1:28" s="227" customFormat="1" ht="38.25">
      <c r="A53" s="181" t="s">
        <v>15500</v>
      </c>
      <c r="B53" s="182" t="str">
        <f ca="1">IF(LEN(A53)=0,"",INDEX('Smelter Look-up'!$A:$A,MATCH($A53,'Smelter Look-up'!$E:$E,0)))</f>
        <v>Tin</v>
      </c>
      <c r="C53" s="186" t="str">
        <f ca="1">IF(LEN(A53)=0,"",INDEX('Smelter Look-up'!$C:$C,MATCH($A53,'Smelter Look-up'!$E:$E,0)))</f>
        <v>PT Tommy Utama</v>
      </c>
      <c r="D53" s="230"/>
      <c r="E53" s="182" t="str">
        <f ca="1">IF(ISERROR($V53),"",OFFSET('Smelter Look-up'!$D$4,$V53-4,0)&amp;"")</f>
        <v>INDONESIA</v>
      </c>
      <c r="F53" s="182" t="str">
        <f ca="1">IF(ISERROR($V53),"",OFFSET('Smelter Look-up'!$E$4,$V53-4,0))</f>
        <v>CID001493</v>
      </c>
      <c r="G53" s="182" t="str">
        <f ca="1">IF(C53=$X$4,IF(ISERROR($V53),"Enter smelter details","RMI"),IF(ISERROR($V53),"",OFFSET('Smelter Look-up'!$F$4,$V53-4,0)))</f>
        <v>RMI</v>
      </c>
      <c r="H53" s="183">
        <f ca="1">IF(ISERROR($V53),"",OFFSET('Smelter Look-up'!$G$4,$V53-4,0))</f>
        <v>0</v>
      </c>
      <c r="I53" s="184" t="str">
        <f ca="1">IF(ISERROR($V53),"",OFFSET('Smelter Look-up'!$H$4,$V53-4,0))</f>
        <v>Sumping Desa Batu Peyu</v>
      </c>
      <c r="J53" s="184" t="str">
        <f ca="1">IF(ISERROR($V53),"",OFFSET('Smelter Look-up'!$I$4,$V53-4,0))</f>
        <v>Kepulauan Bangka Belitung</v>
      </c>
      <c r="K53" s="224"/>
      <c r="L53" s="224"/>
      <c r="M53" s="224"/>
      <c r="N53" s="224"/>
      <c r="O53" s="224"/>
      <c r="P53" s="185"/>
      <c r="Q53" s="225" t="s">
        <v>15805</v>
      </c>
      <c r="R53" s="182" t="str">
        <f ca="1">IF(ISERROR($V53),"",OFFSET('Smelter Look-up'!$C$4,$V53-4,0)&amp;"")</f>
        <v>PT Tommy Utama</v>
      </c>
      <c r="S53" s="181" t="str">
        <f t="shared" ca="1" si="6"/>
        <v>ID</v>
      </c>
      <c r="T53" s="181" t="str">
        <f ca="1">IF(B53="","",IF(ISERROR(MATCH($J53,SorP!$B$1:$B$6279,0)),"",INDIRECT("'SorP'!$A$"&amp;MATCH($S53&amp;$J53,SorP!C:C,0))))</f>
        <v>ID-BB</v>
      </c>
      <c r="U53" s="201"/>
      <c r="V53" s="226">
        <f ca="1">IF(C53="",NA(),IF(OR(C53="Smelter not listed",C53="Smelter not yet identified"),MATCH($B53&amp;$D53,'Smelter Look-up'!$J:$J,0),MATCH($B53&amp;$C53,'Smelter Look-up'!$J:$J,0)))</f>
        <v>517</v>
      </c>
      <c r="X53" s="227">
        <f t="shared" ca="1" si="7"/>
        <v>0</v>
      </c>
      <c r="AB53" s="228" t="str">
        <f t="shared" ca="1" si="8"/>
        <v>TinPT Tommy Utama</v>
      </c>
    </row>
    <row r="54" spans="1:28" s="227" customFormat="1" ht="51">
      <c r="A54" s="181" t="s">
        <v>15097</v>
      </c>
      <c r="B54" s="182" t="str">
        <f ca="1">IF(LEN(A54)=0,"",INDEX('Smelter Look-up'!$A:$A,MATCH($A54,'Smelter Look-up'!$E:$E,0)))</f>
        <v>Tin</v>
      </c>
      <c r="C54" s="186" t="str">
        <f ca="1">IF(LEN(A54)=0,"",INDEX('Smelter Look-up'!$C:$C,MATCH($A54,'Smelter Look-up'!$E:$E,0)))</f>
        <v>CV Venus Inti Perkasa</v>
      </c>
      <c r="D54" s="230"/>
      <c r="E54" s="182" t="str">
        <f ca="1">IF(ISERROR($V54),"",OFFSET('Smelter Look-up'!$D$4,$V54-4,0)&amp;"")</f>
        <v>INDONESIA</v>
      </c>
      <c r="F54" s="182" t="str">
        <f ca="1">IF(ISERROR($V54),"",OFFSET('Smelter Look-up'!$E$4,$V54-4,0))</f>
        <v>CID002455</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t="s">
        <v>15805</v>
      </c>
      <c r="R54" s="182" t="str">
        <f ca="1">IF(ISERROR($V54),"",OFFSET('Smelter Look-up'!$C$4,$V54-4,0)&amp;"")</f>
        <v>CV Venus Inti Perkasa</v>
      </c>
      <c r="S54" s="181" t="str">
        <f t="shared" ca="1" si="6"/>
        <v>ID</v>
      </c>
      <c r="T54" s="181" t="str">
        <f ca="1">IF(B54="","",IF(ISERROR(MATCH($J54,SorP!$B$1:$B$6279,0)),"",INDIRECT("'SorP'!$A$"&amp;MATCH($S54&amp;$J54,SorP!C:C,0))))</f>
        <v>ID-BB</v>
      </c>
      <c r="U54" s="201"/>
      <c r="V54" s="226">
        <f ca="1">IF(C54="",NA(),IF(OR(C54="Smelter not listed",C54="Smelter not yet identified"),MATCH($B54&amp;$D54,'Smelter Look-up'!$J:$J,0),MATCH($B54&amp;$C54,'Smelter Look-up'!$J:$J,0)))</f>
        <v>415</v>
      </c>
      <c r="X54" s="227">
        <f t="shared" ca="1" si="7"/>
        <v>0</v>
      </c>
      <c r="AB54" s="228" t="str">
        <f t="shared" ca="1" si="8"/>
        <v>TinCV Venus Inti Perkasa</v>
      </c>
    </row>
    <row r="55" spans="1:28" s="227" customFormat="1" ht="76.5">
      <c r="A55" s="181" t="s">
        <v>15491</v>
      </c>
      <c r="B55" s="182" t="str">
        <f ca="1">IF(LEN(A55)=0,"",INDEX('Smelter Look-up'!$A:$A,MATCH($A55,'Smelter Look-up'!$E:$E,0)))</f>
        <v>Tin</v>
      </c>
      <c r="C55" s="186" t="str">
        <f ca="1">IF(LEN(A55)=0,"",INDEX('Smelter Look-up'!$C:$C,MATCH($A55,'Smelter Look-up'!$E:$E,0)))</f>
        <v>PT Putera Sarana Shakti (PT PSS)</v>
      </c>
      <c r="D55" s="230"/>
      <c r="E55" s="182" t="str">
        <f ca="1">IF(ISERROR($V55),"",OFFSET('Smelter Look-up'!$D$4,$V55-4,0)&amp;"")</f>
        <v>INDONESIA</v>
      </c>
      <c r="F55" s="182" t="str">
        <f ca="1">IF(ISERROR($V55),"",OFFSET('Smelter Look-up'!$E$4,$V55-4,0))</f>
        <v>CID003868</v>
      </c>
      <c r="G55" s="182" t="str">
        <f ca="1">IF(C55=$X$4,IF(ISERROR($V55),"Enter smelter details","RMI"),IF(ISERROR($V55),"",OFFSET('Smelter Look-up'!$F$4,$V55-4,0)))</f>
        <v>RMI</v>
      </c>
      <c r="H55" s="183">
        <f ca="1">IF(ISERROR($V55),"",OFFSET('Smelter Look-up'!$G$4,$V55-4,0))</f>
        <v>0</v>
      </c>
      <c r="I55" s="184" t="str">
        <f ca="1">IF(ISERROR($V55),"",OFFSET('Smelter Look-up'!$H$4,$V55-4,0))</f>
        <v>Sungailiat</v>
      </c>
      <c r="J55" s="184" t="str">
        <f ca="1">IF(ISERROR($V55),"",OFFSET('Smelter Look-up'!$I$4,$V55-4,0))</f>
        <v>Kepulauan Bangka Belitung</v>
      </c>
      <c r="K55" s="224"/>
      <c r="L55" s="224"/>
      <c r="M55" s="224"/>
      <c r="N55" s="224"/>
      <c r="O55" s="224"/>
      <c r="P55" s="185"/>
      <c r="Q55" s="225" t="s">
        <v>15805</v>
      </c>
      <c r="R55" s="182" t="str">
        <f ca="1">IF(ISERROR($V55),"",OFFSET('Smelter Look-up'!$C$4,$V55-4,0)&amp;"")</f>
        <v>PT Putera Sarana Shakti (PT PSS)</v>
      </c>
      <c r="S55" s="181" t="str">
        <f t="shared" ca="1" si="6"/>
        <v>ID</v>
      </c>
      <c r="T55" s="181" t="str">
        <f ca="1">IF(B55="","",IF(ISERROR(MATCH($J55,SorP!$B$1:$B$6279,0)),"",INDIRECT("'SorP'!$A$"&amp;MATCH($S55&amp;$J55,SorP!C:C,0))))</f>
        <v>ID-BB</v>
      </c>
      <c r="U55" s="201"/>
      <c r="V55" s="226">
        <f ca="1">IF(C55="",NA(),IF(OR(C55="Smelter not listed",C55="Smelter not yet identified"),MATCH($B55&amp;$D55,'Smelter Look-up'!$J:$J,0),MATCH($B55&amp;$C55,'Smelter Look-up'!$J:$J,0)))</f>
        <v>505</v>
      </c>
      <c r="X55" s="227">
        <f t="shared" ca="1" si="7"/>
        <v>0</v>
      </c>
      <c r="AB55" s="228" t="str">
        <f t="shared" ca="1" si="8"/>
        <v>TinPT Putera Sarana Shakti (PT PSS)</v>
      </c>
    </row>
    <row r="56" spans="1:28" s="227" customFormat="1" ht="51">
      <c r="A56" s="181" t="s">
        <v>15495</v>
      </c>
      <c r="B56" s="182" t="str">
        <f ca="1">IF(LEN(A56)=0,"",INDEX('Smelter Look-up'!$A:$A,MATCH($A56,'Smelter Look-up'!$E:$E,0)))</f>
        <v>Tin</v>
      </c>
      <c r="C56" s="186" t="str">
        <f ca="1">IF(LEN(A56)=0,"",INDEX('Smelter Look-up'!$C:$C,MATCH($A56,'Smelter Look-up'!$E:$E,0)))</f>
        <v>PT Sukses Inti Makmur</v>
      </c>
      <c r="D56" s="230"/>
      <c r="E56" s="182" t="str">
        <f ca="1">IF(ISERROR($V56),"",OFFSET('Smelter Look-up'!$D$4,$V56-4,0)&amp;"")</f>
        <v>INDONESIA</v>
      </c>
      <c r="F56" s="182" t="str">
        <f ca="1">IF(ISERROR($V56),"",OFFSET('Smelter Look-up'!$E$4,$V56-4,0))</f>
        <v>CID002816</v>
      </c>
      <c r="G56" s="182" t="str">
        <f ca="1">IF(C56=$X$4,IF(ISERROR($V56),"Enter smelter details","RMI"),IF(ISERROR($V56),"",OFFSET('Smelter Look-up'!$F$4,$V56-4,0)))</f>
        <v>RMI</v>
      </c>
      <c r="H56" s="183">
        <f ca="1">IF(ISERROR($V56),"",OFFSET('Smelter Look-up'!$G$4,$V56-4,0))</f>
        <v>0</v>
      </c>
      <c r="I56" s="184" t="str">
        <f ca="1">IF(ISERROR($V56),"",OFFSET('Smelter Look-up'!$H$4,$V56-4,0))</f>
        <v>Belitung</v>
      </c>
      <c r="J56" s="184" t="str">
        <f ca="1">IF(ISERROR($V56),"",OFFSET('Smelter Look-up'!$I$4,$V56-4,0))</f>
        <v>Kepulauan Bangka Belitung</v>
      </c>
      <c r="K56" s="224"/>
      <c r="L56" s="224"/>
      <c r="M56" s="224"/>
      <c r="N56" s="224"/>
      <c r="O56" s="224"/>
      <c r="P56" s="185"/>
      <c r="Q56" s="225" t="s">
        <v>15805</v>
      </c>
      <c r="R56" s="182" t="str">
        <f ca="1">IF(ISERROR($V56),"",OFFSET('Smelter Look-up'!$C$4,$V56-4,0)&amp;"")</f>
        <v>PT Sukses Inti Makmur</v>
      </c>
      <c r="S56" s="181" t="str">
        <f t="shared" ca="1" si="6"/>
        <v>ID</v>
      </c>
      <c r="T56" s="181" t="str">
        <f ca="1">IF(B56="","",IF(ISERROR(MATCH($J56,SorP!$B$1:$B$6279,0)),"",INDIRECT("'SorP'!$A$"&amp;MATCH($S56&amp;$J56,SorP!C:C,0))))</f>
        <v>ID-BB</v>
      </c>
      <c r="U56" s="201"/>
      <c r="V56" s="226">
        <f ca="1">IF(C56="",NA(),IF(OR(C56="Smelter not listed",C56="Smelter not yet identified"),MATCH($B56&amp;$D56,'Smelter Look-up'!$J:$J,0),MATCH($B56&amp;$C56,'Smelter Look-up'!$J:$J,0)))</f>
        <v>510</v>
      </c>
      <c r="X56" s="227">
        <f t="shared" ca="1" si="7"/>
        <v>0</v>
      </c>
      <c r="AB56" s="228" t="str">
        <f t="shared" ca="1" si="8"/>
        <v>TinPT Sukses Inti Makmur</v>
      </c>
    </row>
    <row r="57" spans="1:28" s="227" customFormat="1" ht="51">
      <c r="A57" s="181" t="s">
        <v>15112</v>
      </c>
      <c r="B57" s="182" t="str">
        <f ca="1">IF(LEN(A57)=0,"",INDEX('Smelter Look-up'!$A:$A,MATCH($A57,'Smelter Look-up'!$E:$E,0)))</f>
        <v>Tin</v>
      </c>
      <c r="C57" s="186" t="str">
        <f ca="1">IF(LEN(A57)=0,"",INDEX('Smelter Look-up'!$C:$C,MATCH($A57,'Smelter Look-up'!$E:$E,0)))</f>
        <v>PT Prima Timah Utama</v>
      </c>
      <c r="D57" s="230"/>
      <c r="E57" s="182" t="str">
        <f ca="1">IF(ISERROR($V57),"",OFFSET('Smelter Look-up'!$D$4,$V57-4,0)&amp;"")</f>
        <v>INDONESIA</v>
      </c>
      <c r="F57" s="182" t="str">
        <f ca="1">IF(ISERROR($V57),"",OFFSET('Smelter Look-up'!$E$4,$V57-4,0))</f>
        <v>CID001458</v>
      </c>
      <c r="G57" s="182" t="str">
        <f ca="1">IF(C57=$X$4,IF(ISERROR($V57),"Enter smelter details","RMI"),IF(ISERROR($V57),"",OFFSET('Smelter Look-up'!$F$4,$V57-4,0)))</f>
        <v>RMI</v>
      </c>
      <c r="H57" s="183">
        <f ca="1">IF(ISERROR($V57),"",OFFSET('Smelter Look-up'!$G$4,$V57-4,0))</f>
        <v>0</v>
      </c>
      <c r="I57" s="184" t="str">
        <f ca="1">IF(ISERROR($V57),"",OFFSET('Smelter Look-up'!$H$4,$V57-4,0))</f>
        <v>Pangkal Pinang</v>
      </c>
      <c r="J57" s="184" t="str">
        <f ca="1">IF(ISERROR($V57),"",OFFSET('Smelter Look-up'!$I$4,$V57-4,0))</f>
        <v>Kepulauan Bangka Belitung</v>
      </c>
      <c r="K57" s="224"/>
      <c r="L57" s="224"/>
      <c r="M57" s="224"/>
      <c r="N57" s="224"/>
      <c r="O57" s="224"/>
      <c r="P57" s="185"/>
      <c r="Q57" s="225" t="s">
        <v>15807</v>
      </c>
      <c r="R57" s="182" t="str">
        <f ca="1">IF(ISERROR($V57),"",OFFSET('Smelter Look-up'!$C$4,$V57-4,0)&amp;"")</f>
        <v>PT Prima Timah Utama</v>
      </c>
      <c r="S57" s="181" t="str">
        <f t="shared" ca="1" si="6"/>
        <v>ID</v>
      </c>
      <c r="T57" s="181" t="str">
        <f ca="1">IF(B57="","",IF(ISERROR(MATCH($J57,SorP!$B$1:$B$6279,0)),"",INDIRECT("'SorP'!$A$"&amp;MATCH($S57&amp;$J57,SorP!C:C,0))))</f>
        <v>ID-BB</v>
      </c>
      <c r="U57" s="201"/>
      <c r="V57" s="226">
        <f ca="1">IF(C57="",NA(),IF(OR(C57="Smelter not listed",C57="Smelter not yet identified"),MATCH($B57&amp;$D57,'Smelter Look-up'!$J:$J,0),MATCH($B57&amp;$C57,'Smelter Look-up'!$J:$J,0)))</f>
        <v>504</v>
      </c>
      <c r="X57" s="227">
        <f t="shared" ca="1" si="7"/>
        <v>0</v>
      </c>
      <c r="AB57" s="228" t="str">
        <f t="shared" ca="1" si="8"/>
        <v>TinPT Prima Timah Utama</v>
      </c>
    </row>
    <row r="58" spans="1:28" s="227" customFormat="1" ht="89.25">
      <c r="A58" s="181" t="s">
        <v>12930</v>
      </c>
      <c r="B58" s="182" t="str">
        <f ca="1">IF(LEN(A58)=0,"",INDEX('Smelter Look-up'!$A:$A,MATCH($A58,'Smelter Look-up'!$E:$E,0)))</f>
        <v>Tin</v>
      </c>
      <c r="C58" s="186" t="str">
        <f ca="1">IF(LEN(A58)=0,"",INDEX('Smelter Look-up'!$C:$C,MATCH($A58,'Smelter Look-up'!$E:$E,0)))</f>
        <v>Chifeng Dajingzi Tin Industry Co., Ltd.</v>
      </c>
      <c r="D58" s="230"/>
      <c r="E58" s="182" t="str">
        <f ca="1">IF(ISERROR($V58),"",OFFSET('Smelter Look-up'!$D$4,$V58-4,0)&amp;"")</f>
        <v>CHINA</v>
      </c>
      <c r="F58" s="182" t="str">
        <f ca="1">IF(ISERROR($V58),"",OFFSET('Smelter Look-up'!$E$4,$V58-4,0))</f>
        <v>CID003190</v>
      </c>
      <c r="G58" s="182" t="str">
        <f ca="1">IF(C58=$X$4,IF(ISERROR($V58),"Enter smelter details","RMI"),IF(ISERROR($V58),"",OFFSET('Smelter Look-up'!$F$4,$V58-4,0)))</f>
        <v>RMI</v>
      </c>
      <c r="H58" s="183">
        <f ca="1">IF(ISERROR($V58),"",OFFSET('Smelter Look-up'!$G$4,$V58-4,0))</f>
        <v>0</v>
      </c>
      <c r="I58" s="184" t="str">
        <f ca="1">IF(ISERROR($V58),"",OFFSET('Smelter Look-up'!$H$4,$V58-4,0))</f>
        <v>Chifeng</v>
      </c>
      <c r="J58" s="184" t="str">
        <f ca="1">IF(ISERROR($V58),"",OFFSET('Smelter Look-up'!$I$4,$V58-4,0))</f>
        <v>Nei Mongol Zizhiqu</v>
      </c>
      <c r="K58" s="224"/>
      <c r="L58" s="224"/>
      <c r="M58" s="224"/>
      <c r="N58" s="224"/>
      <c r="O58" s="224"/>
      <c r="P58" s="185"/>
      <c r="Q58" s="225" t="s">
        <v>15807</v>
      </c>
      <c r="R58" s="182" t="str">
        <f ca="1">IF(ISERROR($V58),"",OFFSET('Smelter Look-up'!$C$4,$V58-4,0)&amp;"")</f>
        <v>Chifeng Dajingzi Tin Industry Co., Ltd.</v>
      </c>
      <c r="S58" s="181" t="str">
        <f t="shared" ca="1" si="6"/>
        <v>CN</v>
      </c>
      <c r="T58" s="181" t="str">
        <f ca="1">IF(B58="","",IF(ISERROR(MATCH($J58,SorP!$B$1:$B$6279,0)),"",INDIRECT("'SorP'!$A$"&amp;MATCH($S58&amp;$J58,SorP!C:C,0))))</f>
        <v>CN-NM</v>
      </c>
      <c r="U58" s="201"/>
      <c r="V58" s="226">
        <f ca="1">IF(C58="",NA(),IF(OR(C58="Smelter not listed",C58="Smelter not yet identified"),MATCH($B58&amp;$D58,'Smelter Look-up'!$J:$J,0),MATCH($B58&amp;$C58,'Smelter Look-up'!$J:$J,0)))</f>
        <v>401</v>
      </c>
      <c r="X58" s="227">
        <f t="shared" ca="1" si="7"/>
        <v>0</v>
      </c>
      <c r="AB58" s="228" t="str">
        <f t="shared" ca="1" si="8"/>
        <v>TinChifeng Dajingzi Tin Industry Co., Ltd.</v>
      </c>
    </row>
    <row r="59" spans="1:28" s="227" customFormat="1" ht="63.75">
      <c r="A59" s="181" t="s">
        <v>15095</v>
      </c>
      <c r="B59" s="182" t="str">
        <f ca="1">IF(LEN(A59)=0,"",INDEX('Smelter Look-up'!$A:$A,MATCH($A59,'Smelter Look-up'!$E:$E,0)))</f>
        <v>Tin</v>
      </c>
      <c r="C59" s="186" t="str">
        <f ca="1">IF(LEN(A59)=0,"",INDEX('Smelter Look-up'!$C:$C,MATCH($A59,'Smelter Look-up'!$E:$E,0)))</f>
        <v>PT Aries Kencana Sejahtera</v>
      </c>
      <c r="D59" s="230"/>
      <c r="E59" s="182" t="str">
        <f ca="1">IF(ISERROR($V59),"",OFFSET('Smelter Look-up'!$D$4,$V59-4,0)&amp;"")</f>
        <v>INDONESIA</v>
      </c>
      <c r="F59" s="182" t="str">
        <f ca="1">IF(ISERROR($V59),"",OFFSET('Smelter Look-up'!$E$4,$V59-4,0))</f>
        <v>CID000309</v>
      </c>
      <c r="G59" s="182" t="str">
        <f ca="1">IF(C59=$X$4,IF(ISERROR($V59),"Enter smelter details","RMI"),IF(ISERROR($V59),"",OFFSET('Smelter Look-up'!$F$4,$V59-4,0)))</f>
        <v>RMI</v>
      </c>
      <c r="H59" s="183">
        <f ca="1">IF(ISERROR($V59),"",OFFSET('Smelter Look-up'!$G$4,$V59-4,0))</f>
        <v>0</v>
      </c>
      <c r="I59" s="184" t="str">
        <f ca="1">IF(ISERROR($V59),"",OFFSET('Smelter Look-up'!$H$4,$V59-4,0))</f>
        <v>Pemali</v>
      </c>
      <c r="J59" s="184" t="str">
        <f ca="1">IF(ISERROR($V59),"",OFFSET('Smelter Look-up'!$I$4,$V59-4,0))</f>
        <v>Kepulauan Bangka Belitung</v>
      </c>
      <c r="K59" s="224"/>
      <c r="L59" s="224"/>
      <c r="M59" s="224"/>
      <c r="N59" s="224"/>
      <c r="O59" s="224"/>
      <c r="P59" s="185"/>
      <c r="Q59" s="225" t="s">
        <v>15805</v>
      </c>
      <c r="R59" s="182" t="str">
        <f ca="1">IF(ISERROR($V59),"",OFFSET('Smelter Look-up'!$C$4,$V59-4,0)&amp;"")</f>
        <v>PT Aries Kencana Sejahtera</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486</v>
      </c>
      <c r="X59" s="227">
        <f t="shared" ca="1" si="7"/>
        <v>0</v>
      </c>
      <c r="AB59" s="228" t="str">
        <f t="shared" ca="1" si="8"/>
        <v>TinPT Aries Kencana Sejahtera</v>
      </c>
    </row>
    <row r="60" spans="1:28" s="227" customFormat="1" ht="63.75">
      <c r="A60" s="181" t="s">
        <v>706</v>
      </c>
      <c r="B60" s="182" t="str">
        <f ca="1">IF(LEN(A60)=0,"",INDEX('Smelter Look-up'!$A:$A,MATCH($A60,'Smelter Look-up'!$E:$E,0)))</f>
        <v>Gold</v>
      </c>
      <c r="C60" s="186" t="str">
        <f ca="1">IF(LEN(A60)=0,"",INDEX('Smelter Look-up'!$C:$C,MATCH($A60,'Smelter Look-up'!$E:$E,0)))</f>
        <v>Metalor USA Refining Corporation</v>
      </c>
      <c r="D60" s="230"/>
      <c r="E60" s="182" t="str">
        <f ca="1">IF(ISERROR($V60),"",OFFSET('Smelter Look-up'!$D$4,$V60-4,0)&amp;"")</f>
        <v>UNITED STATES OF AMERICA</v>
      </c>
      <c r="F60" s="182" t="str">
        <f ca="1">IF(ISERROR($V60),"",OFFSET('Smelter Look-up'!$E$4,$V60-4,0))</f>
        <v>CID001157</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t="s">
        <v>15806</v>
      </c>
      <c r="R60" s="182" t="str">
        <f ca="1">IF(ISERROR($V60),"",OFFSET('Smelter Look-up'!$C$4,$V60-4,0)&amp;"")</f>
        <v>Metalor USA Refining Corporation</v>
      </c>
      <c r="S60" s="181" t="str">
        <f t="shared" ca="1" si="6"/>
        <v>US</v>
      </c>
      <c r="T60" s="181" t="str">
        <f ca="1">IF(B60="","",IF(ISERROR(MATCH($J60,SorP!$B$1:$B$6279,0)),"",INDIRECT("'SorP'!$A$"&amp;MATCH($S60&amp;$J60,SorP!C:C,0))))</f>
        <v>US-MA</v>
      </c>
      <c r="U60" s="201"/>
      <c r="V60" s="226">
        <f ca="1">IF(C60="",NA(),IF(OR(C60="Smelter not listed",C60="Smelter not yet identified"),MATCH($B60&amp;$D60,'Smelter Look-up'!$J:$J,0),MATCH($B60&amp;$C60,'Smelter Look-up'!$J:$J,0)))</f>
        <v>176</v>
      </c>
      <c r="X60" s="227">
        <f t="shared" ca="1" si="7"/>
        <v>0</v>
      </c>
      <c r="AB60" s="228" t="str">
        <f t="shared" ca="1" si="8"/>
        <v>GoldMetalor USA Refining Corporation</v>
      </c>
    </row>
    <row r="61" spans="1:28" s="227" customFormat="1" ht="51">
      <c r="A61" s="181" t="s">
        <v>722</v>
      </c>
      <c r="B61" s="182" t="str">
        <f ca="1">IF(LEN(A61)=0,"",INDEX('Smelter Look-up'!$A:$A,MATCH($A61,'Smelter Look-up'!$E:$E,0)))</f>
        <v>Gold</v>
      </c>
      <c r="C61" s="186" t="str">
        <f ca="1">IF(LEN(A61)=0,"",INDEX('Smelter Look-up'!$C:$C,MATCH($A61,'Smelter Look-up'!$E:$E,0)))</f>
        <v>Royal Canadian Mint</v>
      </c>
      <c r="D61" s="230"/>
      <c r="E61" s="182" t="str">
        <f ca="1">IF(ISERROR($V61),"",OFFSET('Smelter Look-up'!$D$4,$V61-4,0)&amp;"")</f>
        <v>CANADA</v>
      </c>
      <c r="F61" s="182" t="str">
        <f ca="1">IF(ISERROR($V61),"",OFFSET('Smelter Look-up'!$E$4,$V61-4,0))</f>
        <v>CID001534</v>
      </c>
      <c r="G61" s="182" t="str">
        <f ca="1">IF(C61=$X$4,IF(ISERROR($V61),"Enter smelter details","RMI"),IF(ISERROR($V61),"",OFFSET('Smelter Look-up'!$F$4,$V61-4,0)))</f>
        <v>RMI</v>
      </c>
      <c r="H61" s="183">
        <f ca="1">IF(ISERROR($V61),"",OFFSET('Smelter Look-up'!$G$4,$V61-4,0))</f>
        <v>0</v>
      </c>
      <c r="I61" s="184" t="str">
        <f ca="1">IF(ISERROR($V61),"",OFFSET('Smelter Look-up'!$H$4,$V61-4,0))</f>
        <v>Ottawa</v>
      </c>
      <c r="J61" s="184" t="str">
        <f ca="1">IF(ISERROR($V61),"",OFFSET('Smelter Look-up'!$I$4,$V61-4,0))</f>
        <v>Ontario</v>
      </c>
      <c r="K61" s="224"/>
      <c r="L61" s="224"/>
      <c r="M61" s="224"/>
      <c r="N61" s="224"/>
      <c r="O61" s="224"/>
      <c r="P61" s="185"/>
      <c r="Q61" s="225" t="s">
        <v>15806</v>
      </c>
      <c r="R61" s="182" t="str">
        <f ca="1">IF(ISERROR($V61),"",OFFSET('Smelter Look-up'!$C$4,$V61-4,0)&amp;"")</f>
        <v>Royal Canadian Mint</v>
      </c>
      <c r="S61" s="181" t="str">
        <f t="shared" ca="1" si="6"/>
        <v>CA</v>
      </c>
      <c r="T61" s="181" t="str">
        <f ca="1">IF(B61="","",IF(ISERROR(MATCH($J61,SorP!$B$1:$B$6279,0)),"",INDIRECT("'SorP'!$A$"&amp;MATCH($S61&amp;$J61,SorP!C:C,0))))</f>
        <v>CA-ON</v>
      </c>
      <c r="U61" s="201"/>
      <c r="V61" s="226">
        <f ca="1">IF(C61="",NA(),IF(OR(C61="Smelter not listed",C61="Smelter not yet identified"),MATCH($B61&amp;$D61,'Smelter Look-up'!$J:$J,0),MATCH($B61&amp;$C61,'Smelter Look-up'!$J:$J,0)))</f>
        <v>220</v>
      </c>
      <c r="X61" s="227">
        <f t="shared" ca="1" si="7"/>
        <v>0</v>
      </c>
      <c r="AB61" s="228" t="str">
        <f t="shared" ca="1" si="8"/>
        <v>GoldRoyal Canadian Mint</v>
      </c>
    </row>
    <row r="62" spans="1:28" s="227" customFormat="1" ht="76.5">
      <c r="A62" s="181" t="s">
        <v>732</v>
      </c>
      <c r="B62" s="182" t="str">
        <f ca="1">IF(LEN(A62)=0,"",INDEX('Smelter Look-up'!$A:$A,MATCH($A62,'Smelter Look-up'!$E:$E,0)))</f>
        <v>Gold</v>
      </c>
      <c r="C62" s="186" t="str">
        <f ca="1">IF(LEN(A62)=0,"",INDEX('Smelter Look-up'!$C:$C,MATCH($A62,'Smelter Look-up'!$E:$E,0)))</f>
        <v>Shandong Gold Smelting Co., Ltd.</v>
      </c>
      <c r="D62" s="230"/>
      <c r="E62" s="182" t="str">
        <f ca="1">IF(ISERROR($V62),"",OFFSET('Smelter Look-up'!$D$4,$V62-4,0)&amp;"")</f>
        <v>CHINA</v>
      </c>
      <c r="F62" s="182" t="str">
        <f ca="1">IF(ISERROR($V62),"",OFFSET('Smelter Look-up'!$E$4,$V62-4,0))</f>
        <v>CID001916</v>
      </c>
      <c r="G62" s="182" t="str">
        <f ca="1">IF(C62=$X$4,IF(ISERROR($V62),"Enter smelter details","RMI"),IF(ISERROR($V62),"",OFFSET('Smelter Look-up'!$F$4,$V62-4,0)))</f>
        <v>RMI</v>
      </c>
      <c r="H62" s="183">
        <f ca="1">IF(ISERROR($V62),"",OFFSET('Smelter Look-up'!$G$4,$V62-4,0))</f>
        <v>0</v>
      </c>
      <c r="I62" s="184" t="str">
        <f ca="1">IF(ISERROR($V62),"",OFFSET('Smelter Look-up'!$H$4,$V62-4,0))</f>
        <v>Laizhou</v>
      </c>
      <c r="J62" s="184" t="str">
        <f ca="1">IF(ISERROR($V62),"",OFFSET('Smelter Look-up'!$I$4,$V62-4,0))</f>
        <v>Shandong Sheng</v>
      </c>
      <c r="K62" s="224"/>
      <c r="L62" s="224"/>
      <c r="M62" s="224"/>
      <c r="N62" s="224"/>
      <c r="O62" s="224"/>
      <c r="P62" s="185"/>
      <c r="Q62" s="225" t="s">
        <v>15806</v>
      </c>
      <c r="R62" s="182" t="str">
        <f ca="1">IF(ISERROR($V62),"",OFFSET('Smelter Look-up'!$C$4,$V62-4,0)&amp;"")</f>
        <v>Shandong Gold Smelting Co., Ltd.</v>
      </c>
      <c r="S62" s="181" t="str">
        <f t="shared" ca="1" si="6"/>
        <v>CN</v>
      </c>
      <c r="T62" s="181" t="str">
        <f ca="1">IF(B62="","",IF(ISERROR(MATCH($J62,SorP!$B$1:$B$6279,0)),"",INDIRECT("'SorP'!$A$"&amp;MATCH($S62&amp;$J62,SorP!C:C,0))))</f>
        <v>CN-SD</v>
      </c>
      <c r="U62" s="201"/>
      <c r="V62" s="226">
        <f ca="1">IF(C62="",NA(),IF(OR(C62="Smelter not listed",C62="Smelter not yet identified"),MATCH($B62&amp;$D62,'Smelter Look-up'!$J:$J,0),MATCH($B62&amp;$C62,'Smelter Look-up'!$J:$J,0)))</f>
        <v>239</v>
      </c>
      <c r="X62" s="227">
        <f t="shared" ca="1" si="7"/>
        <v>0</v>
      </c>
      <c r="AB62" s="228" t="str">
        <f t="shared" ca="1" si="8"/>
        <v>GoldShandong Gold Smelting Co., Ltd.</v>
      </c>
    </row>
    <row r="63" spans="1:28" s="227" customFormat="1" ht="51">
      <c r="A63" s="181" t="s">
        <v>15116</v>
      </c>
      <c r="B63" s="182" t="str">
        <f ca="1">IF(LEN(A63)=0,"",INDEX('Smelter Look-up'!$A:$A,MATCH($A63,'Smelter Look-up'!$E:$E,0)))</f>
        <v>Tin</v>
      </c>
      <c r="C63" s="186" t="str">
        <f ca="1">IF(LEN(A63)=0,"",INDEX('Smelter Look-up'!$C:$C,MATCH($A63,'Smelter Look-up'!$E:$E,0)))</f>
        <v>PT Stanindo Inti Perkasa</v>
      </c>
      <c r="D63" s="230"/>
      <c r="E63" s="182" t="str">
        <f ca="1">IF(ISERROR($V63),"",OFFSET('Smelter Look-up'!$D$4,$V63-4,0)&amp;"")</f>
        <v>INDONESIA</v>
      </c>
      <c r="F63" s="182" t="str">
        <f ca="1">IF(ISERROR($V63),"",OFFSET('Smelter Look-up'!$E$4,$V63-4,0))</f>
        <v>CID001468</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t="s">
        <v>15809</v>
      </c>
      <c r="R63" s="182" t="str">
        <f ca="1">IF(ISERROR($V63),"",OFFSET('Smelter Look-up'!$C$4,$V63-4,0)&amp;"")</f>
        <v>PT Stanindo Inti Perkasa</v>
      </c>
      <c r="S63" s="181" t="str">
        <f t="shared" ca="1" si="6"/>
        <v>ID</v>
      </c>
      <c r="T63" s="181" t="str">
        <f ca="1">IF(B63="","",IF(ISERROR(MATCH($J63,SorP!$B$1:$B$6279,0)),"",INDIRECT("'SorP'!$A$"&amp;MATCH($S63&amp;$J63,SorP!C:C,0))))</f>
        <v>ID-BB</v>
      </c>
      <c r="U63" s="201"/>
      <c r="V63" s="226">
        <f ca="1">IF(C63="",NA(),IF(OR(C63="Smelter not listed",C63="Smelter not yet identified"),MATCH($B63&amp;$D63,'Smelter Look-up'!$J:$J,0),MATCH($B63&amp;$C63,'Smelter Look-up'!$J:$J,0)))</f>
        <v>509</v>
      </c>
      <c r="X63" s="227">
        <f t="shared" ca="1" si="7"/>
        <v>0</v>
      </c>
      <c r="AB63" s="228" t="str">
        <f t="shared" ca="1" si="8"/>
        <v>TinPT Stanindo Inti Perkasa</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8466DC-8D57-467F-A7E4-B1691F6FDE1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Innovative Power Products,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scope of Innovative Power Products is designing, manufacturing, and sales of RF and Microwave Passive Components.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Guiffre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dguiffre@innovativepp.com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631-563-0088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Passaro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tpassaro@innovativepp.com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45218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http:innovative.com/about-us/conflictminerals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schemas.microsoft.com/office/2006/metadata/properties"/>
    <ds:schemaRef ds:uri="http://purl.org/dc/terms/"/>
    <ds:schemaRef ds:uri="a54701f6-876b-4337-a24e-543e1bd311e6"/>
    <ds:schemaRef ds:uri="http://purl.org/dc/elements/1.1/"/>
    <ds:schemaRef ds:uri="http://www.w3.org/XML/1998/namespace"/>
    <ds:schemaRef ds:uri="http://schemas.openxmlformats.org/package/2006/metadata/core-properties"/>
    <ds:schemaRef ds:uri="6e8a5f3d-031c-4996-804e-0e28298fe1e2"/>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Guiffre</cp:lastModifiedBy>
  <cp:lastPrinted>2015-04-21T20:47:43Z</cp:lastPrinted>
  <dcterms:created xsi:type="dcterms:W3CDTF">2010-06-21T21:00:23Z</dcterms:created>
  <dcterms:modified xsi:type="dcterms:W3CDTF">2023-10-23T13:29:58Z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